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</sheets>
  <definedNames>
    <definedName name="_xlnm.Print_Titles" localSheetId="0">'Работы'!$3:$3</definedName>
  </definedNames>
  <calcPr fullCalcOnLoad="1" refMode="R1C1"/>
</workbook>
</file>

<file path=xl/sharedStrings.xml><?xml version="1.0" encoding="utf-8"?>
<sst xmlns="http://schemas.openxmlformats.org/spreadsheetml/2006/main" count="53" uniqueCount="43">
  <si>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</si>
  <si>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</si>
  <si>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</si>
  <si>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</si>
  <si>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</si>
  <si>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</si>
  <si>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</si>
  <si>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</si>
  <si>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</si>
  <si>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</si>
  <si>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Управл. расходы, руб.</t>
  </si>
  <si>
    <t>Стоимость, руб.</t>
  </si>
  <si>
    <t>Смена поврежденных листов асбоцементных кровель</t>
  </si>
  <si>
    <t>100 м2 сменяемого покрытия</t>
  </si>
  <si>
    <t>Ремонт, замена  внутридомовых электрических сетей</t>
  </si>
  <si>
    <t>1000 пог.м.</t>
  </si>
  <si>
    <t>Устранение аварии на внутридомовых инженерных сетях при сроке эксплуатации многоквартирного дома от 51 до 70 лет</t>
  </si>
  <si>
    <t>1000 м2  общей площади жилых помещений, не оборудованных газовыми плитами</t>
  </si>
  <si>
    <t>Подметание в летний период  земельного участка с усовершенствованным покрытием 1 класса</t>
  </si>
  <si>
    <t>1 000 кв.м. территории</t>
  </si>
  <si>
    <t>Подметание в летний период  земельного участка без покрытия 1 класса</t>
  </si>
  <si>
    <t>Стрижка газонов</t>
  </si>
  <si>
    <t>на 100 кв.м.</t>
  </si>
  <si>
    <t>Сдвижка и подметание снега при снегопаде на придомовой территории с усовершенствованным покрытием 1 класса</t>
  </si>
  <si>
    <t>10 000 кв.м. территории</t>
  </si>
  <si>
    <t>Посыпка территории I класса</t>
  </si>
  <si>
    <t>100 кв. м</t>
  </si>
  <si>
    <t>Уборка мусора на  контейнерных  площадках</t>
  </si>
  <si>
    <t>ИТОГО: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</si>
  <si>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</si>
  <si>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</si>
  <si>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</si>
  <si>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</si>
  <si>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</si>
  <si>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</si>
  <si>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Управленческие расходы, руб.:</t>
  </si>
  <si>
    <t>ИТОГО, руб.:</t>
  </si>
  <si>
    <t>Итого:</t>
  </si>
  <si>
    <t>Итого 1 м2 б/НДС, руб./м2</t>
  </si>
  <si>
    <t>Итого 1 м2 с НДС, руб./м2</t>
  </si>
  <si>
    <t>ИТОГО с НДС, руб.:</t>
  </si>
  <si>
    <t>Смета расходов. Список работ для домов 6 группы благоустройства</t>
  </si>
  <si>
    <t>смета для домов 6 группы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</si>
</sst>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00"/>
    <numFmt numFmtId="167" formatCode="0.0000000"/>
    <numFmt numFmtId="168" formatCode="0.000000"/>
    <numFmt numFmtId="169" formatCode="0.00000"/>
  </numFmts>
  <fonts count="9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b/>
      <sz val="9"/>
      <color indexed="10"/>
      <name val="Arial"/>
      <family val="0"/>
    </font>
    <font>
      <b/>
      <sz val="11"/>
      <color indexed="10"/>
      <name val="Courier"/>
      <family val="0"/>
    </font>
    <font>
      <b/>
      <sz val="11"/>
      <color indexed="10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1">
    <xf numFmtId="0" fontId="0" fillId="0" borderId="0" xfId="0" applyFill="1" applyAlignment="1" applyProtection="1">
      <alignment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left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4" fontId="0" fillId="0" borderId="5" xfId="0" applyNumberFormat="1" applyFill="1" applyBorder="1" applyAlignment="1" applyProtection="1">
      <alignment horizontal="right" vertical="center"/>
      <protection/>
    </xf>
    <xf numFmtId="4" fontId="0" fillId="0" borderId="6" xfId="0" applyNumberFormat="1" applyFill="1" applyBorder="1" applyAlignment="1" applyProtection="1">
      <alignment horizontal="right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6" fillId="0" borderId="0" xfId="0" applyNumberFormat="1" applyFont="1" applyFill="1" applyAlignment="1" applyProtection="1">
      <alignment horizontal="right"/>
      <protection/>
    </xf>
    <xf numFmtId="0" fontId="7" fillId="0" borderId="5" xfId="0" applyFont="1" applyFill="1" applyBorder="1" applyAlignment="1" applyProtection="1">
      <alignment horizontal="left" vertical="center" wrapText="1"/>
      <protection/>
    </xf>
    <xf numFmtId="0" fontId="0" fillId="0" borderId="7" xfId="0" applyFill="1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left"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  <xf numFmtId="4" fontId="0" fillId="0" borderId="8" xfId="0" applyNumberFormat="1" applyFill="1" applyBorder="1" applyAlignment="1" applyProtection="1">
      <alignment horizontal="right" vertical="center"/>
      <protection/>
    </xf>
    <xf numFmtId="4" fontId="0" fillId="0" borderId="9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4" fontId="0" fillId="0" borderId="10" xfId="0" applyNumberFormat="1" applyFill="1" applyBorder="1" applyAlignment="1" applyProtection="1">
      <alignment horizontal="right" vertical="center"/>
      <protection/>
    </xf>
    <xf numFmtId="4" fontId="7" fillId="0" borderId="6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" fontId="8" fillId="0" borderId="0" xfId="0" applyNumberFormat="1" applyFont="1" applyFill="1" applyAlignment="1" applyProtection="1">
      <alignment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workbookViewId="0" topLeftCell="B1">
      <selection activeCell="B1" sqref="B1:M1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3" width="15.00390625" style="0" customWidth="1"/>
  </cols>
  <sheetData>
    <row r="1" spans="2:13" ht="27.75" customHeight="1">
      <c r="B1" s="32" t="s">
        <v>41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3" spans="1:13" ht="40.5">
      <c r="A3" s="1"/>
      <c r="B3" s="10" t="s">
        <v>0</v>
      </c>
      <c r="C3" s="2" t="s">
        <v>1</v>
      </c>
      <c r="D3" s="2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4" t="s">
        <v>11</v>
      </c>
    </row>
    <row r="4" spans="2:13" ht="19.5" customHeight="1">
      <c r="B4" s="33" t="s">
        <v>42</v>
      </c>
      <c r="C4" s="34"/>
      <c r="D4" s="34"/>
      <c r="E4" s="35"/>
      <c r="F4" s="35"/>
      <c r="G4" s="36"/>
      <c r="H4" s="36"/>
      <c r="I4" s="36"/>
      <c r="J4" s="36"/>
      <c r="K4" s="36"/>
      <c r="L4" s="36"/>
      <c r="M4" s="37"/>
    </row>
    <row r="5" spans="2:13" ht="24">
      <c r="B5" s="5">
        <v>1</v>
      </c>
      <c r="C5" s="6" t="s">
        <v>12</v>
      </c>
      <c r="D5" s="6" t="s">
        <v>13</v>
      </c>
      <c r="E5" s="7">
        <v>0.022</v>
      </c>
      <c r="F5" s="7">
        <v>0.2</v>
      </c>
      <c r="G5" s="8">
        <f>3981.74*E5*F5</f>
        <v>17.519655999999998</v>
      </c>
      <c r="H5" s="8">
        <f>34361.80637141*E5*F5</f>
        <v>151.191948034204</v>
      </c>
      <c r="I5" s="8">
        <f aca="true" t="shared" si="0" ref="I5:I15">0*E5*F5</f>
        <v>0</v>
      </c>
      <c r="J5" s="8">
        <f>1998.83348*E5*F5</f>
        <v>8.794867312</v>
      </c>
      <c r="K5" s="8">
        <f>1411.9832947994*E5*F5</f>
        <v>6.21272649711736</v>
      </c>
      <c r="L5" s="8">
        <f aca="true" t="shared" si="1" ref="L5:L19">0*E5*F5</f>
        <v>0</v>
      </c>
      <c r="M5" s="9">
        <f aca="true" t="shared" si="2" ref="M5:M19">SUM(G5:L5)</f>
        <v>183.71919784332135</v>
      </c>
    </row>
    <row r="6" spans="2:13" ht="12.75">
      <c r="B6" s="5"/>
      <c r="C6" s="13" t="s">
        <v>37</v>
      </c>
      <c r="D6" s="6"/>
      <c r="E6" s="7"/>
      <c r="F6" s="7"/>
      <c r="G6" s="8"/>
      <c r="H6" s="8"/>
      <c r="I6" s="8"/>
      <c r="J6" s="8"/>
      <c r="K6" s="8"/>
      <c r="L6" s="8"/>
      <c r="M6" s="24">
        <f>SUM(M5:M5)</f>
        <v>183.71919784332135</v>
      </c>
    </row>
    <row r="7" spans="2:13" ht="12.75">
      <c r="B7" s="5"/>
      <c r="C7" s="13" t="s">
        <v>38</v>
      </c>
      <c r="D7" s="6"/>
      <c r="E7" s="7"/>
      <c r="F7" s="7"/>
      <c r="G7" s="8"/>
      <c r="H7" s="8"/>
      <c r="I7" s="8"/>
      <c r="J7" s="8"/>
      <c r="K7" s="8"/>
      <c r="L7" s="8"/>
      <c r="M7" s="24">
        <f>M6/12/100</f>
        <v>0.1530993315361011</v>
      </c>
    </row>
    <row r="8" spans="2:13" ht="12.75">
      <c r="B8" s="5"/>
      <c r="C8" s="13" t="s">
        <v>39</v>
      </c>
      <c r="D8" s="6"/>
      <c r="E8" s="7"/>
      <c r="F8" s="7"/>
      <c r="G8" s="8"/>
      <c r="H8" s="8"/>
      <c r="I8" s="8"/>
      <c r="J8" s="8"/>
      <c r="K8" s="8"/>
      <c r="L8" s="8"/>
      <c r="M8" s="24">
        <f>M7*1.18</f>
        <v>0.1806572112125993</v>
      </c>
    </row>
    <row r="9" spans="2:13" ht="12">
      <c r="B9" s="5">
        <v>2</v>
      </c>
      <c r="C9" s="6" t="s">
        <v>14</v>
      </c>
      <c r="D9" s="6" t="s">
        <v>15</v>
      </c>
      <c r="E9" s="7">
        <v>0.013</v>
      </c>
      <c r="F9" s="7">
        <v>0.2</v>
      </c>
      <c r="G9" s="8">
        <f>17108*E9*F9</f>
        <v>44.4808</v>
      </c>
      <c r="H9" s="8">
        <f>29909.1510522*E9*F9</f>
        <v>77.76379273572</v>
      </c>
      <c r="I9" s="8">
        <f t="shared" si="0"/>
        <v>0</v>
      </c>
      <c r="J9" s="8">
        <f>8588.216*E9*F9</f>
        <v>22.3293616</v>
      </c>
      <c r="K9" s="8">
        <f>1946.187846827*E9*F9</f>
        <v>5.0600884017502</v>
      </c>
      <c r="L9" s="8">
        <f t="shared" si="1"/>
        <v>0</v>
      </c>
      <c r="M9" s="9">
        <f t="shared" si="2"/>
        <v>149.6340427374702</v>
      </c>
    </row>
    <row r="10" spans="2:13" ht="58.5" customHeight="1">
      <c r="B10" s="5">
        <v>3</v>
      </c>
      <c r="C10" s="6" t="s">
        <v>16</v>
      </c>
      <c r="D10" s="6" t="s">
        <v>17</v>
      </c>
      <c r="E10" s="7">
        <v>0.01</v>
      </c>
      <c r="F10" s="7">
        <v>1</v>
      </c>
      <c r="G10" s="8">
        <f>896.8636*E10*F10</f>
        <v>8.968636</v>
      </c>
      <c r="H10" s="8">
        <f>0*E10*F10</f>
        <v>0</v>
      </c>
      <c r="I10" s="8">
        <f t="shared" si="0"/>
        <v>0</v>
      </c>
      <c r="J10" s="8">
        <f>450.2255272*E10*F10</f>
        <v>4.502255272</v>
      </c>
      <c r="K10" s="8">
        <f>47.148119452*E10*F10</f>
        <v>0.47148119452000004</v>
      </c>
      <c r="L10" s="8">
        <f t="shared" si="1"/>
        <v>0</v>
      </c>
      <c r="M10" s="9">
        <f t="shared" si="2"/>
        <v>13.94237246652</v>
      </c>
    </row>
    <row r="11" spans="2:13" ht="12.75">
      <c r="B11" s="5"/>
      <c r="C11" s="13" t="s">
        <v>37</v>
      </c>
      <c r="D11" s="6"/>
      <c r="E11" s="7"/>
      <c r="F11" s="7"/>
      <c r="G11" s="8"/>
      <c r="H11" s="8"/>
      <c r="I11" s="8"/>
      <c r="J11" s="8"/>
      <c r="K11" s="8"/>
      <c r="L11" s="8"/>
      <c r="M11" s="24">
        <f>SUM(M9:M10)</f>
        <v>163.5764152039902</v>
      </c>
    </row>
    <row r="12" spans="2:13" ht="12.75">
      <c r="B12" s="5"/>
      <c r="C12" s="13" t="s">
        <v>38</v>
      </c>
      <c r="D12" s="6"/>
      <c r="E12" s="7"/>
      <c r="F12" s="7"/>
      <c r="G12" s="8"/>
      <c r="H12" s="8"/>
      <c r="I12" s="8"/>
      <c r="J12" s="8"/>
      <c r="K12" s="8"/>
      <c r="L12" s="8"/>
      <c r="M12" s="24">
        <f>M11/12/100</f>
        <v>0.1363136793366585</v>
      </c>
    </row>
    <row r="13" spans="2:13" ht="12.75">
      <c r="B13" s="5"/>
      <c r="C13" s="13" t="s">
        <v>39</v>
      </c>
      <c r="D13" s="6"/>
      <c r="E13" s="7"/>
      <c r="F13" s="7"/>
      <c r="G13" s="8"/>
      <c r="H13" s="8"/>
      <c r="I13" s="8"/>
      <c r="J13" s="8"/>
      <c r="K13" s="8"/>
      <c r="L13" s="8"/>
      <c r="M13" s="24">
        <f>M12*1.18</f>
        <v>0.16085014161725703</v>
      </c>
    </row>
    <row r="14" spans="2:13" ht="24">
      <c r="B14" s="5">
        <v>4</v>
      </c>
      <c r="C14" s="6" t="s">
        <v>18</v>
      </c>
      <c r="D14" s="6" t="s">
        <v>19</v>
      </c>
      <c r="E14" s="7">
        <v>0.002</v>
      </c>
      <c r="F14" s="7">
        <v>36</v>
      </c>
      <c r="G14" s="8">
        <f>78.8823*E14*F14</f>
        <v>5.6795256</v>
      </c>
      <c r="H14" s="8">
        <f>1.6336*E14*F14</f>
        <v>0.11761920000000001</v>
      </c>
      <c r="I14" s="8">
        <f t="shared" si="0"/>
        <v>0</v>
      </c>
      <c r="J14" s="8">
        <f>39.5989146*E14*F14</f>
        <v>2.8511218512</v>
      </c>
      <c r="K14" s="8">
        <f>4.204018511*E14*F14</f>
        <v>0.30268933279200005</v>
      </c>
      <c r="L14" s="8">
        <f t="shared" si="1"/>
        <v>0</v>
      </c>
      <c r="M14" s="9">
        <f t="shared" si="2"/>
        <v>8.950955983992</v>
      </c>
    </row>
    <row r="15" spans="2:13" ht="24">
      <c r="B15" s="5">
        <v>7</v>
      </c>
      <c r="C15" s="6" t="s">
        <v>20</v>
      </c>
      <c r="D15" s="6" t="s">
        <v>19</v>
      </c>
      <c r="E15" s="7">
        <v>0.024</v>
      </c>
      <c r="F15" s="7">
        <v>24</v>
      </c>
      <c r="G15" s="8">
        <f>128.7027*E15*F15</f>
        <v>74.1327552</v>
      </c>
      <c r="H15" s="8">
        <f>2.8504*E15*F15</f>
        <v>1.6418304</v>
      </c>
      <c r="I15" s="8">
        <f t="shared" si="0"/>
        <v>0</v>
      </c>
      <c r="J15" s="8">
        <f>64.6087554*E15*F15</f>
        <v>37.214643110400004</v>
      </c>
      <c r="K15" s="8">
        <f>6.865664939*E15*F15</f>
        <v>3.9546230048639996</v>
      </c>
      <c r="L15" s="8">
        <f t="shared" si="1"/>
        <v>0</v>
      </c>
      <c r="M15" s="9">
        <f t="shared" si="2"/>
        <v>116.94385171526402</v>
      </c>
    </row>
    <row r="16" spans="2:13" ht="12">
      <c r="B16" s="5">
        <v>9</v>
      </c>
      <c r="C16" s="6" t="s">
        <v>21</v>
      </c>
      <c r="D16" s="6" t="s">
        <v>22</v>
      </c>
      <c r="E16" s="7">
        <v>0.3</v>
      </c>
      <c r="F16" s="7">
        <v>1</v>
      </c>
      <c r="G16" s="8">
        <f>58.1238*E16*F16</f>
        <v>17.43714</v>
      </c>
      <c r="H16" s="8">
        <f>74.62244896*E16*F16</f>
        <v>22.386734688</v>
      </c>
      <c r="I16" s="8">
        <f>65.2428*E16*F16</f>
        <v>19.57284</v>
      </c>
      <c r="J16" s="8">
        <f>29.1781476*E16*F16</f>
        <v>8.75344428</v>
      </c>
      <c r="K16" s="8">
        <f>7.9508518796*E16*F16</f>
        <v>2.38525556388</v>
      </c>
      <c r="L16" s="8">
        <f t="shared" si="1"/>
        <v>0</v>
      </c>
      <c r="M16" s="9">
        <f t="shared" si="2"/>
        <v>70.53541453188</v>
      </c>
    </row>
    <row r="17" spans="2:13" ht="36">
      <c r="B17" s="5">
        <v>10</v>
      </c>
      <c r="C17" s="6" t="s">
        <v>23</v>
      </c>
      <c r="D17" s="6" t="s">
        <v>24</v>
      </c>
      <c r="E17" s="7">
        <v>0.001</v>
      </c>
      <c r="F17" s="7">
        <v>2</v>
      </c>
      <c r="G17" s="8">
        <f>6030.0477*E17*F17</f>
        <v>12.0600954</v>
      </c>
      <c r="H17" s="8">
        <f>160*E17*F17</f>
        <v>0.32</v>
      </c>
      <c r="I17" s="8">
        <f>0*E17*F17</f>
        <v>0</v>
      </c>
      <c r="J17" s="8">
        <f>3027.0839454*E17*F17</f>
        <v>6.0541678908000005</v>
      </c>
      <c r="K17" s="8">
        <f>322.599607589*E17*F17</f>
        <v>0.645199215178</v>
      </c>
      <c r="L17" s="8">
        <f t="shared" si="1"/>
        <v>0</v>
      </c>
      <c r="M17" s="9">
        <f t="shared" si="2"/>
        <v>19.079462505978</v>
      </c>
    </row>
    <row r="18" spans="2:13" ht="12">
      <c r="B18" s="5">
        <v>11</v>
      </c>
      <c r="C18" s="6" t="s">
        <v>25</v>
      </c>
      <c r="D18" s="6" t="s">
        <v>26</v>
      </c>
      <c r="E18" s="7">
        <v>0.02</v>
      </c>
      <c r="F18" s="7">
        <v>2</v>
      </c>
      <c r="G18" s="8">
        <f>12.81096*E18*F18</f>
        <v>0.5124384</v>
      </c>
      <c r="H18" s="8">
        <f>192.3915*E18*F18</f>
        <v>7.69566</v>
      </c>
      <c r="I18" s="8">
        <f>0*E18*F18</f>
        <v>0</v>
      </c>
      <c r="J18" s="8">
        <f>6.43110192*E18*F18</f>
        <v>0.2572440768</v>
      </c>
      <c r="K18" s="8">
        <f>7.4071746672*E18*F18</f>
        <v>0.29628698668799996</v>
      </c>
      <c r="L18" s="8">
        <f t="shared" si="1"/>
        <v>0</v>
      </c>
      <c r="M18" s="9">
        <f t="shared" si="2"/>
        <v>8.761629463488</v>
      </c>
    </row>
    <row r="19" spans="2:13" ht="12">
      <c r="B19" s="14">
        <v>12</v>
      </c>
      <c r="C19" s="15" t="s">
        <v>27</v>
      </c>
      <c r="D19" s="15" t="s">
        <v>22</v>
      </c>
      <c r="E19" s="16">
        <v>0.006</v>
      </c>
      <c r="F19" s="16">
        <v>96</v>
      </c>
      <c r="G19" s="17">
        <f>144.1233*E19*F19</f>
        <v>83.0150208</v>
      </c>
      <c r="H19" s="17">
        <f>1.6*E19*F19</f>
        <v>0.9216000000000001</v>
      </c>
      <c r="I19" s="17">
        <f>0*E19*F19</f>
        <v>0</v>
      </c>
      <c r="J19" s="17">
        <f>72.3498966*E19*F19</f>
        <v>41.6735404416</v>
      </c>
      <c r="K19" s="17">
        <f>7.632561881*E19*F19</f>
        <v>4.396355643456</v>
      </c>
      <c r="L19" s="17">
        <f t="shared" si="1"/>
        <v>0</v>
      </c>
      <c r="M19" s="18">
        <f t="shared" si="2"/>
        <v>130.006516885056</v>
      </c>
    </row>
    <row r="20" spans="2:13" ht="12.75">
      <c r="B20" s="19"/>
      <c r="C20" s="20" t="s">
        <v>37</v>
      </c>
      <c r="D20" s="21"/>
      <c r="E20" s="22"/>
      <c r="F20" s="22"/>
      <c r="G20" s="23"/>
      <c r="H20" s="23"/>
      <c r="I20" s="23"/>
      <c r="J20" s="23"/>
      <c r="K20" s="23"/>
      <c r="L20" s="23"/>
      <c r="M20" s="25">
        <f>SUM(M14:M19)</f>
        <v>354.277831085658</v>
      </c>
    </row>
    <row r="21" spans="2:13" ht="12.75">
      <c r="B21" s="19"/>
      <c r="C21" s="20" t="s">
        <v>38</v>
      </c>
      <c r="D21" s="21"/>
      <c r="E21" s="22"/>
      <c r="F21" s="22"/>
      <c r="G21" s="23"/>
      <c r="H21" s="23"/>
      <c r="I21" s="23"/>
      <c r="J21" s="23"/>
      <c r="K21" s="23"/>
      <c r="L21" s="23"/>
      <c r="M21" s="25">
        <f>M20/12/100</f>
        <v>0.295231525904715</v>
      </c>
    </row>
    <row r="22" spans="2:13" ht="12.75">
      <c r="B22" s="19"/>
      <c r="C22" s="20" t="s">
        <v>39</v>
      </c>
      <c r="D22" s="21"/>
      <c r="E22" s="22"/>
      <c r="F22" s="22"/>
      <c r="G22" s="23"/>
      <c r="H22" s="23"/>
      <c r="I22" s="23"/>
      <c r="J22" s="23"/>
      <c r="K22" s="23"/>
      <c r="L22" s="23"/>
      <c r="M22" s="25">
        <f>M21*1.18</f>
        <v>0.3483732005675637</v>
      </c>
    </row>
    <row r="23" spans="2:13" ht="12">
      <c r="B23" s="38" t="s">
        <v>28</v>
      </c>
      <c r="C23" s="39"/>
      <c r="D23" s="39"/>
      <c r="E23" s="39"/>
      <c r="F23" s="39"/>
      <c r="G23" s="27">
        <f aca="true" t="shared" si="3" ref="G23:L23">SUM(G5:G19)</f>
        <v>263.8060674</v>
      </c>
      <c r="H23" s="27">
        <f t="shared" si="3"/>
        <v>262.039185057924</v>
      </c>
      <c r="I23" s="27">
        <f t="shared" si="3"/>
        <v>19.57284</v>
      </c>
      <c r="J23" s="27">
        <f t="shared" si="3"/>
        <v>132.4306458348</v>
      </c>
      <c r="K23" s="27">
        <f t="shared" si="3"/>
        <v>23.72470584024556</v>
      </c>
      <c r="L23" s="27">
        <f t="shared" si="3"/>
        <v>0</v>
      </c>
      <c r="M23" s="28">
        <f>M6+M11+M20</f>
        <v>701.5734441329696</v>
      </c>
    </row>
    <row r="24" spans="2:13" ht="12.75">
      <c r="B24" s="29"/>
      <c r="C24" s="20" t="s">
        <v>38</v>
      </c>
      <c r="D24" s="29"/>
      <c r="E24" s="29"/>
      <c r="F24" s="29"/>
      <c r="G24" s="29"/>
      <c r="H24" s="29"/>
      <c r="I24" s="29"/>
      <c r="J24" s="29"/>
      <c r="K24" s="29"/>
      <c r="L24" s="29"/>
      <c r="M24" s="30">
        <f>M23/12/100</f>
        <v>0.5846445367774746</v>
      </c>
    </row>
    <row r="25" spans="2:13" ht="12.75">
      <c r="B25" s="29"/>
      <c r="C25" s="20" t="s">
        <v>39</v>
      </c>
      <c r="D25" s="29"/>
      <c r="E25" s="29"/>
      <c r="F25" s="29"/>
      <c r="G25" s="29"/>
      <c r="H25" s="29"/>
      <c r="I25" s="29"/>
      <c r="J25" s="29"/>
      <c r="K25" s="29"/>
      <c r="L25" s="29"/>
      <c r="M25" s="30">
        <f>M24*1.18</f>
        <v>0.68988055339742</v>
      </c>
    </row>
    <row r="27" spans="4:11" ht="19.5">
      <c r="D27" s="40" t="s">
        <v>29</v>
      </c>
      <c r="E27" s="40"/>
      <c r="F27" s="40"/>
      <c r="G27" s="40"/>
      <c r="H27" s="40"/>
      <c r="I27" s="40"/>
      <c r="J27" s="40"/>
      <c r="K27" s="40"/>
    </row>
    <row r="28" spans="4:11" ht="15.75">
      <c r="D28" s="12" t="s">
        <v>30</v>
      </c>
      <c r="E28" s="31">
        <f>G23</f>
        <v>263.8060674</v>
      </c>
      <c r="F28" s="31"/>
      <c r="G28" s="11"/>
      <c r="H28" s="11"/>
      <c r="I28" s="12" t="s">
        <v>31</v>
      </c>
      <c r="J28" s="31">
        <f>J23</f>
        <v>132.4306458348</v>
      </c>
      <c r="K28" s="31"/>
    </row>
    <row r="29" spans="4:11" ht="15.75">
      <c r="D29" s="12" t="s">
        <v>32</v>
      </c>
      <c r="E29" s="31">
        <f>H23</f>
        <v>262.039185057924</v>
      </c>
      <c r="F29" s="31"/>
      <c r="G29" s="11"/>
      <c r="H29" s="11"/>
      <c r="I29" s="12" t="s">
        <v>33</v>
      </c>
      <c r="J29" s="31">
        <f>K23</f>
        <v>23.72470584024556</v>
      </c>
      <c r="K29" s="31"/>
    </row>
    <row r="30" spans="4:11" ht="15.75">
      <c r="D30" s="12" t="s">
        <v>34</v>
      </c>
      <c r="E30" s="31">
        <f>I23</f>
        <v>19.57284</v>
      </c>
      <c r="F30" s="31"/>
      <c r="G30" s="11"/>
      <c r="H30" s="11"/>
      <c r="I30" s="12" t="s">
        <v>35</v>
      </c>
      <c r="J30" s="31">
        <f>L23</f>
        <v>0</v>
      </c>
      <c r="K30" s="31"/>
    </row>
    <row r="31" spans="4:11" ht="15.75">
      <c r="D31" s="12"/>
      <c r="E31" s="11"/>
      <c r="F31" s="11"/>
      <c r="G31" s="11"/>
      <c r="H31" s="11"/>
      <c r="I31" s="12" t="s">
        <v>36</v>
      </c>
      <c r="J31" s="31">
        <f>M23</f>
        <v>701.5734441329696</v>
      </c>
      <c r="K31" s="31"/>
    </row>
    <row r="32" spans="9:11" ht="15">
      <c r="I32" s="12" t="s">
        <v>40</v>
      </c>
      <c r="K32" s="26">
        <f>J31*1.18</f>
        <v>827.856664076904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B1:M1"/>
    <mergeCell ref="B4:M4"/>
    <mergeCell ref="B23:F23"/>
    <mergeCell ref="D27:K27"/>
    <mergeCell ref="E30:F30"/>
    <mergeCell ref="J30:K30"/>
    <mergeCell ref="J31:K31"/>
    <mergeCell ref="E28:F28"/>
    <mergeCell ref="J28:K28"/>
    <mergeCell ref="E29:F29"/>
    <mergeCell ref="J29:K29"/>
  </mergeCells>
  <printOptions/>
  <pageMargins left="0.35" right="0.35" top="0.35" bottom="0.35" header="0.3" footer="0.3"/>
  <pageSetup fitToHeight="0" fitToWidth="1" horizontalDpi="600" verticalDpi="600" orientation="landscape" paperSize="9" scale="80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РЎРјРµС‚Р° СЂР°СЃС…РѕРґРѕРІ</dc:title>
  <dc:subject>РЎРјРµС‚Р° СЂР°СЃС…РѕРґРѕРІ</dc:subject>
  <dc:creator>РњРљР”-СЂР°СЃС‡РµС‚. Р¦РµРЅС‚СЂ РјСѓРЅРёС†РёРїР°Р»СЊРЅРѕР№ СЌРєРѕРЅРѕРјРёРєРё Рё РїСЂР°РІР°</dc:creator>
  <cp:keywords>СЃРјРµС‚Р° СЂР°СЃС‡РµС‚ Р¶РєС…</cp:keywords>
  <dc:description>РЎРјРµС‚Р° СЂР°СЃС…РѕРґРѕРІ РІРєР»СЋС‡Р°РµС‚ РїРµСЂРµС‡РµРЅСЊ СЂР°Р±РѕС‚ Рё РїРµСЂРµС‡РµРЅСЊ СЂРµСЃСѓСЂСЃРѕРІ</dc:description>
  <cp:lastModifiedBy>Customer</cp:lastModifiedBy>
  <cp:lastPrinted>2015-05-21T13:24:04Z</cp:lastPrinted>
  <dcterms:created xsi:type="dcterms:W3CDTF">2015-05-21T11:23:16Z</dcterms:created>
  <dcterms:modified xsi:type="dcterms:W3CDTF">2015-07-23T11:43:24Z</dcterms:modified>
  <cp:category>Test result file</cp:category>
  <cp:version/>
  <cp:contentType/>
  <cp:contentStatus/>
</cp:coreProperties>
</file>