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</sheets>
  <definedNames>
    <definedName name="_xlnm.Print_Titles" localSheetId="0">'Работы'!$3:$3</definedName>
  </definedNames>
  <calcPr fullCalcOnLoad="1" refMode="R1C1"/>
</workbook>
</file>

<file path=xl/sharedStrings.xml><?xml version="1.0" encoding="utf-8"?>
<sst xmlns="http://schemas.openxmlformats.org/spreadsheetml/2006/main" count="80" uniqueCount="67">
  <si>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</si>
  <si>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</si>
  <si>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</si>
  <si>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</si>
  <si>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</si>
  <si>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</si>
  <si>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</si>
  <si>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</si>
  <si>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</si>
  <si>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</si>
  <si>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Управл. расходы, руб.</t>
  </si>
  <si>
    <t>Стоимость, руб.</t>
  </si>
  <si>
    <t>смета для 4 группы домов</t>
  </si>
  <si>
    <t>Усиление фундаментов цементацией</t>
  </si>
  <si>
    <t>100 м3 фундамента</t>
  </si>
  <si>
    <t>Восстановление (ремонт) отмостки</t>
  </si>
  <si>
    <t>100 м2 отмостки</t>
  </si>
  <si>
    <t>Известковая окраска ранее окрашенных поверхностей стен</t>
  </si>
  <si>
    <t>100 м2 окрашенной поверхности</t>
  </si>
  <si>
    <t>Смена поврежденных листов асбоцементных кровель</t>
  </si>
  <si>
    <t>100 м2 сменяемого покрытия</t>
  </si>
  <si>
    <t>Смена воронок</t>
  </si>
  <si>
    <t>100 шт.</t>
  </si>
  <si>
    <t>Смена простых колен</t>
  </si>
  <si>
    <t>Окрашивание масляными составами деревянных поручней</t>
  </si>
  <si>
    <t>100  м поручня</t>
  </si>
  <si>
    <t>Смена отдельных участков трубопроводов  водоснабжения из стальных электросварных труб диаметром 50 мм</t>
  </si>
  <si>
    <t>100 м трубопроводов</t>
  </si>
  <si>
    <t>Смена отдельных участков чугунных труб и  внутренних чугунных канализационных выпусков при диаметре канализационного выпуска 100 мм</t>
  </si>
  <si>
    <t>Замена светильника с лампами накаливания или энергосберегающими лампами</t>
  </si>
  <si>
    <t>1 светильник</t>
  </si>
  <si>
    <t>Замена лампы накаливания на энергосберегательную</t>
  </si>
  <si>
    <t>1 лампа</t>
  </si>
  <si>
    <t>Устранение аварии на внутридомовых инженерных сетях при сроке эксплуатации многоквартирного дома от 31 до 50 лет</t>
  </si>
  <si>
    <t>1000 м2  общей площади жилых помещений, не оборудованных газовыми плитами</t>
  </si>
  <si>
    <t>Подметание лестничных площадок и маршей нижних трех этажей с предварительным их увлажнением (в доме без лифтов и мусоропровода)</t>
  </si>
  <si>
    <t xml:space="preserve">100 м2  мест общего пользования  </t>
  </si>
  <si>
    <t>Подметание в летний период  земельного участка с усовершенствованным покрытием 1 класса</t>
  </si>
  <si>
    <t>1 000 кв.м. территории</t>
  </si>
  <si>
    <t>Уборка газонов от случайного мусора</t>
  </si>
  <si>
    <t>100 000 м2</t>
  </si>
  <si>
    <t>Стрижка газонов</t>
  </si>
  <si>
    <t>на 100 кв.м.</t>
  </si>
  <si>
    <t>Сдвижка и подметание снега при отсутствии снегопада на придомовой территории с усовершенствованным покрытием 1 класса</t>
  </si>
  <si>
    <t>10 000 кв.м. территории</t>
  </si>
  <si>
    <t>Посыпка территории I класса</t>
  </si>
  <si>
    <t>100 кв. м</t>
  </si>
  <si>
    <t>Уборка крыльца и площадки перед входом в подъезд (в холодный период года)</t>
  </si>
  <si>
    <t>100 кв.м</t>
  </si>
  <si>
    <t>Уборка крыльца и площадки перед входом в подъезд (в теплый период года)</t>
  </si>
  <si>
    <t>Уборка мусора на  контейнерных  площадках</t>
  </si>
  <si>
    <t>ИТОГО: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</si>
  <si>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</si>
  <si>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</si>
  <si>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</si>
  <si>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</si>
  <si>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</si>
  <si>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</si>
  <si>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Управленческие расходы, руб.:</t>
  </si>
  <si>
    <t>ИТОГО, руб.:</t>
  </si>
  <si>
    <t>Смета расходов. Список работ для домов 4 группы благоустройства</t>
  </si>
  <si>
    <t>Итого:</t>
  </si>
  <si>
    <t>Итого 1м2 б/НДС, руб./м2</t>
  </si>
  <si>
    <t>Итого 1м2 с НДС, руб/м2</t>
  </si>
  <si>
    <t>ИТОГО с НДС, руб.:</t>
  </si>
  <si>
    <t>Ремонт, замена внутридомовых электрических сетей</t>
  </si>
  <si>
    <t>1000 пог.м.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</si>
</sst>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b/>
      <sz val="9"/>
      <color indexed="10"/>
      <name val="Arial"/>
      <family val="0"/>
    </font>
    <font>
      <b/>
      <sz val="11"/>
      <color indexed="10"/>
      <name val="Courier"/>
      <family val="0"/>
    </font>
    <font>
      <b/>
      <sz val="11"/>
      <color indexed="10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9">
    <xf numFmtId="0" fontId="0" fillId="0" borderId="0" xfId="0" applyFill="1" applyAlignment="1" applyProtection="1">
      <alignment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left"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4" fontId="0" fillId="0" borderId="5" xfId="0" applyNumberFormat="1" applyFill="1" applyBorder="1" applyAlignment="1" applyProtection="1">
      <alignment horizontal="right" vertical="center"/>
      <protection/>
    </xf>
    <xf numFmtId="4" fontId="0" fillId="0" borderId="6" xfId="0" applyNumberFormat="1" applyFill="1" applyBorder="1" applyAlignment="1" applyProtection="1">
      <alignment horizontal="right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6" fillId="0" borderId="0" xfId="0" applyNumberFormat="1" applyFont="1" applyFill="1" applyAlignment="1" applyProtection="1">
      <alignment horizontal="right"/>
      <protection/>
    </xf>
    <xf numFmtId="0" fontId="7" fillId="0" borderId="5" xfId="0" applyFont="1" applyFill="1" applyBorder="1" applyAlignment="1" applyProtection="1">
      <alignment horizontal="left" vertical="center" wrapText="1"/>
      <protection/>
    </xf>
    <xf numFmtId="0" fontId="0" fillId="0" borderId="7" xfId="0" applyFill="1" applyBorder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 horizontal="left" vertical="center" wrapText="1"/>
      <protection/>
    </xf>
    <xf numFmtId="0" fontId="0" fillId="0" borderId="8" xfId="0" applyFill="1" applyBorder="1" applyAlignment="1" applyProtection="1">
      <alignment horizontal="center" vertical="center" wrapText="1"/>
      <protection/>
    </xf>
    <xf numFmtId="4" fontId="0" fillId="0" borderId="8" xfId="0" applyNumberFormat="1" applyFill="1" applyBorder="1" applyAlignment="1" applyProtection="1">
      <alignment horizontal="right" vertical="center"/>
      <protection/>
    </xf>
    <xf numFmtId="4" fontId="0" fillId="0" borderId="9" xfId="0" applyNumberForma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4" fontId="0" fillId="0" borderId="12" xfId="0" applyNumberFormat="1" applyFill="1" applyBorder="1" applyAlignment="1" applyProtection="1">
      <alignment horizontal="right" vertical="center"/>
      <protection/>
    </xf>
    <xf numFmtId="4" fontId="7" fillId="0" borderId="6" xfId="0" applyNumberFormat="1" applyFont="1" applyFill="1" applyBorder="1" applyAlignment="1" applyProtection="1">
      <alignment horizontal="right" vertical="center"/>
      <protection/>
    </xf>
    <xf numFmtId="4" fontId="7" fillId="0" borderId="12" xfId="0" applyNumberFormat="1" applyFont="1" applyFill="1" applyBorder="1" applyAlignment="1" applyProtection="1">
      <alignment horizontal="right" vertical="center"/>
      <protection/>
    </xf>
    <xf numFmtId="4" fontId="8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4" fontId="5" fillId="0" borderId="0" xfId="0" applyNumberFormat="1" applyFon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workbookViewId="0" topLeftCell="B1">
      <selection activeCell="B1" sqref="B1:M1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3" width="15.00390625" style="0" customWidth="1"/>
  </cols>
  <sheetData>
    <row r="1" spans="2:13" ht="27.75" customHeight="1">
      <c r="B1" s="29" t="s">
        <v>60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3" spans="1:13" ht="40.5">
      <c r="A3" s="1"/>
      <c r="B3" s="10" t="s">
        <v>0</v>
      </c>
      <c r="C3" s="2" t="s">
        <v>1</v>
      </c>
      <c r="D3" s="2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4" t="s">
        <v>11</v>
      </c>
    </row>
    <row r="4" spans="2:13" ht="19.5" customHeight="1">
      <c r="B4" s="30" t="s">
        <v>12</v>
      </c>
      <c r="C4" s="31"/>
      <c r="D4" s="31"/>
      <c r="E4" s="32"/>
      <c r="F4" s="32"/>
      <c r="G4" s="33"/>
      <c r="H4" s="33"/>
      <c r="I4" s="33"/>
      <c r="J4" s="33"/>
      <c r="K4" s="33"/>
      <c r="L4" s="33"/>
      <c r="M4" s="34"/>
    </row>
    <row r="5" spans="2:13" ht="12">
      <c r="B5" s="5">
        <v>1</v>
      </c>
      <c r="C5" s="6" t="s">
        <v>13</v>
      </c>
      <c r="D5" s="6" t="s">
        <v>14</v>
      </c>
      <c r="E5" s="7">
        <v>0.03</v>
      </c>
      <c r="F5" s="7">
        <v>0.2</v>
      </c>
      <c r="G5" s="8">
        <f>48675.0586*E5*F5</f>
        <v>292.0503516</v>
      </c>
      <c r="H5" s="8">
        <f>192085.7345554*E5*F5</f>
        <v>1152.5144073324</v>
      </c>
      <c r="I5" s="8">
        <f>1132.9038*E5*F5</f>
        <v>6.7974228</v>
      </c>
      <c r="J5" s="8">
        <f>24434.8794172*E5*F5</f>
        <v>146.6092765032</v>
      </c>
      <c r="K5" s="8">
        <f>9321.500173041*E5*F5</f>
        <v>55.929001038246</v>
      </c>
      <c r="L5" s="8">
        <f aca="true" t="shared" si="0" ref="L5:L35">0*E5*F5</f>
        <v>0</v>
      </c>
      <c r="M5" s="9">
        <f aca="true" t="shared" si="1" ref="M5:M35">SUM(G5:L5)</f>
        <v>1653.9004592738459</v>
      </c>
    </row>
    <row r="6" spans="2:13" ht="12">
      <c r="B6" s="5">
        <v>2</v>
      </c>
      <c r="C6" s="6" t="s">
        <v>15</v>
      </c>
      <c r="D6" s="6" t="s">
        <v>16</v>
      </c>
      <c r="E6" s="7">
        <v>0.04</v>
      </c>
      <c r="F6" s="7">
        <v>0.2</v>
      </c>
      <c r="G6" s="8">
        <f>1999.1215*E6*F6</f>
        <v>15.992972000000002</v>
      </c>
      <c r="H6" s="8">
        <f>36014.7796925*E6*F6</f>
        <v>288.11823754000005</v>
      </c>
      <c r="I6" s="8">
        <f aca="true" t="shared" si="2" ref="I6:I29">0*E6*F6</f>
        <v>0</v>
      </c>
      <c r="J6" s="8">
        <f>1003.558993*E6*F6</f>
        <v>8.028471944000001</v>
      </c>
      <c r="K6" s="8">
        <f>1365.6111064925*E6*F6</f>
        <v>10.924888851940002</v>
      </c>
      <c r="L6" s="8">
        <f t="shared" si="0"/>
        <v>0</v>
      </c>
      <c r="M6" s="9">
        <f t="shared" si="1"/>
        <v>323.06457033594006</v>
      </c>
    </row>
    <row r="7" spans="2:13" ht="24">
      <c r="B7" s="5">
        <v>3</v>
      </c>
      <c r="C7" s="6" t="s">
        <v>17</v>
      </c>
      <c r="D7" s="6" t="s">
        <v>18</v>
      </c>
      <c r="E7" s="7">
        <v>0.13</v>
      </c>
      <c r="F7" s="7">
        <v>0.2</v>
      </c>
      <c r="G7" s="8">
        <f>556.075*E7*F7</f>
        <v>14.457950000000004</v>
      </c>
      <c r="H7" s="8">
        <f>368.5874346*E7*F7</f>
        <v>9.5832732996</v>
      </c>
      <c r="I7" s="8">
        <f t="shared" si="2"/>
        <v>0</v>
      </c>
      <c r="J7" s="8">
        <f>279.14965*E7*F7</f>
        <v>7.257890900000001</v>
      </c>
      <c r="K7" s="8">
        <f>42.133422961*E7*F7</f>
        <v>1.095468996986</v>
      </c>
      <c r="L7" s="8">
        <f t="shared" si="0"/>
        <v>0</v>
      </c>
      <c r="M7" s="9">
        <f t="shared" si="1"/>
        <v>32.394583196586005</v>
      </c>
    </row>
    <row r="8" spans="2:13" ht="24">
      <c r="B8" s="5">
        <v>4</v>
      </c>
      <c r="C8" s="6" t="s">
        <v>19</v>
      </c>
      <c r="D8" s="6" t="s">
        <v>20</v>
      </c>
      <c r="E8" s="7">
        <v>0.2</v>
      </c>
      <c r="F8" s="7">
        <v>0.4</v>
      </c>
      <c r="G8" s="8">
        <f>3981.74*E8*F8</f>
        <v>318.5392</v>
      </c>
      <c r="H8" s="8">
        <f>34361.80637141*E8*F8</f>
        <v>2748.9445097128005</v>
      </c>
      <c r="I8" s="8">
        <f t="shared" si="2"/>
        <v>0</v>
      </c>
      <c r="J8" s="8">
        <f>1998.83348*E8*F8</f>
        <v>159.90667840000003</v>
      </c>
      <c r="K8" s="8">
        <f>1411.9832947994*E8*F8</f>
        <v>112.95866358395202</v>
      </c>
      <c r="L8" s="8">
        <f t="shared" si="0"/>
        <v>0</v>
      </c>
      <c r="M8" s="9">
        <f t="shared" si="1"/>
        <v>3340.3490516967527</v>
      </c>
    </row>
    <row r="9" spans="2:13" ht="12">
      <c r="B9" s="5">
        <v>5</v>
      </c>
      <c r="C9" s="6" t="s">
        <v>21</v>
      </c>
      <c r="D9" s="6" t="s">
        <v>22</v>
      </c>
      <c r="E9" s="7">
        <v>0.01</v>
      </c>
      <c r="F9" s="7">
        <v>0.2</v>
      </c>
      <c r="G9" s="8">
        <f>3270.78654*E9*F9</f>
        <v>6.541573080000001</v>
      </c>
      <c r="H9" s="8">
        <f>31603.5294225*E9*F9</f>
        <v>63.207058845000006</v>
      </c>
      <c r="I9" s="8">
        <f t="shared" si="2"/>
        <v>0</v>
      </c>
      <c r="J9" s="8">
        <f>1641.93484308*E9*F9</f>
        <v>3.28386968616</v>
      </c>
      <c r="K9" s="8">
        <f>1278.0687781953*E9*F9</f>
        <v>2.5561375563906004</v>
      </c>
      <c r="L9" s="8">
        <f t="shared" si="0"/>
        <v>0</v>
      </c>
      <c r="M9" s="9">
        <f t="shared" si="1"/>
        <v>75.58863916755061</v>
      </c>
    </row>
    <row r="10" spans="2:13" ht="12">
      <c r="B10" s="5">
        <v>6</v>
      </c>
      <c r="C10" s="6" t="s">
        <v>23</v>
      </c>
      <c r="D10" s="6" t="s">
        <v>22</v>
      </c>
      <c r="E10" s="7">
        <v>0.01</v>
      </c>
      <c r="F10" s="7">
        <v>0.2</v>
      </c>
      <c r="G10" s="8">
        <f>7301.2736*E10*F10</f>
        <v>14.602547200000002</v>
      </c>
      <c r="H10" s="8">
        <f>19896.2499225*E10*F10</f>
        <v>39.792499845</v>
      </c>
      <c r="I10" s="8">
        <f t="shared" si="2"/>
        <v>0</v>
      </c>
      <c r="J10" s="8">
        <f>3665.2393472*E10*F10</f>
        <v>7.3304786944</v>
      </c>
      <c r="K10" s="8">
        <f>1080.1967004395*E10*F10</f>
        <v>2.1603934008790002</v>
      </c>
      <c r="L10" s="8">
        <f t="shared" si="0"/>
        <v>0</v>
      </c>
      <c r="M10" s="9">
        <f t="shared" si="1"/>
        <v>63.88591914027901</v>
      </c>
    </row>
    <row r="11" spans="2:13" ht="24">
      <c r="B11" s="5">
        <v>7</v>
      </c>
      <c r="C11" s="6" t="s">
        <v>24</v>
      </c>
      <c r="D11" s="6" t="s">
        <v>25</v>
      </c>
      <c r="E11" s="7">
        <v>0.02</v>
      </c>
      <c r="F11" s="7">
        <v>0.2</v>
      </c>
      <c r="G11" s="8">
        <f>781.26448*E11*F11</f>
        <v>3.1250579200000006</v>
      </c>
      <c r="H11" s="8">
        <f>285.029131058*E11*F11</f>
        <v>1.1401165242320002</v>
      </c>
      <c r="I11" s="8">
        <f t="shared" si="2"/>
        <v>0</v>
      </c>
      <c r="J11" s="8">
        <f>392.19476896*E11*F11</f>
        <v>1.5687790758400002</v>
      </c>
      <c r="K11" s="8">
        <f>51.04709330063*E11*F11</f>
        <v>0.20418837320252003</v>
      </c>
      <c r="L11" s="8">
        <f t="shared" si="0"/>
        <v>0</v>
      </c>
      <c r="M11" s="9">
        <f t="shared" si="1"/>
        <v>6.0381418932745206</v>
      </c>
    </row>
    <row r="12" spans="2:13" ht="12.75">
      <c r="B12" s="5"/>
      <c r="C12" s="13" t="s">
        <v>61</v>
      </c>
      <c r="D12" s="6"/>
      <c r="E12" s="7"/>
      <c r="F12" s="7"/>
      <c r="G12" s="8"/>
      <c r="H12" s="8"/>
      <c r="I12" s="8"/>
      <c r="J12" s="8"/>
      <c r="K12" s="8"/>
      <c r="L12" s="8"/>
      <c r="M12" s="26">
        <f>SUM(M5:M11)</f>
        <v>5495.221364704229</v>
      </c>
    </row>
    <row r="13" spans="2:13" ht="12.75">
      <c r="B13" s="5"/>
      <c r="C13" s="13" t="s">
        <v>62</v>
      </c>
      <c r="D13" s="6"/>
      <c r="E13" s="7"/>
      <c r="F13" s="7"/>
      <c r="G13" s="8"/>
      <c r="H13" s="8"/>
      <c r="I13" s="8"/>
      <c r="J13" s="8"/>
      <c r="K13" s="8"/>
      <c r="L13" s="8"/>
      <c r="M13" s="26">
        <f>M12/12/300</f>
        <v>1.526450379084508</v>
      </c>
    </row>
    <row r="14" spans="2:13" ht="12.75">
      <c r="B14" s="5"/>
      <c r="C14" s="13" t="s">
        <v>63</v>
      </c>
      <c r="D14" s="6"/>
      <c r="E14" s="7"/>
      <c r="F14" s="7"/>
      <c r="G14" s="8"/>
      <c r="H14" s="8"/>
      <c r="I14" s="8"/>
      <c r="J14" s="8"/>
      <c r="K14" s="8"/>
      <c r="L14" s="8"/>
      <c r="M14" s="26">
        <f>M13*1.18</f>
        <v>1.8012114473197194</v>
      </c>
    </row>
    <row r="15" spans="2:13" ht="36">
      <c r="B15" s="5">
        <v>8</v>
      </c>
      <c r="C15" s="6" t="s">
        <v>26</v>
      </c>
      <c r="D15" s="6" t="s">
        <v>27</v>
      </c>
      <c r="E15" s="7">
        <v>0.08</v>
      </c>
      <c r="F15" s="7">
        <v>0.2</v>
      </c>
      <c r="G15" s="8">
        <f>3368.4*E15*F15</f>
        <v>53.89440000000001</v>
      </c>
      <c r="H15" s="8">
        <f>25706.40885988*E15*F15</f>
        <v>411.30254175808005</v>
      </c>
      <c r="I15" s="8">
        <f t="shared" si="2"/>
        <v>0</v>
      </c>
      <c r="J15" s="8">
        <f>1690.9368*E15*F15</f>
        <v>27.054988800000004</v>
      </c>
      <c r="K15" s="8">
        <f>1076.8010980958*E15*F15</f>
        <v>17.2288175695328</v>
      </c>
      <c r="L15" s="8">
        <f t="shared" si="0"/>
        <v>0</v>
      </c>
      <c r="M15" s="9">
        <f t="shared" si="1"/>
        <v>509.48074812761286</v>
      </c>
    </row>
    <row r="16" spans="2:13" ht="36">
      <c r="B16" s="5">
        <v>9</v>
      </c>
      <c r="C16" s="6" t="s">
        <v>28</v>
      </c>
      <c r="D16" s="6" t="s">
        <v>27</v>
      </c>
      <c r="E16" s="7">
        <v>0.065</v>
      </c>
      <c r="F16" s="7">
        <v>0.2</v>
      </c>
      <c r="G16" s="8">
        <f>21221.6475*E16*F16</f>
        <v>275.8814175</v>
      </c>
      <c r="H16" s="8">
        <f>139677.23914704*E16*F16</f>
        <v>1815.8041089115204</v>
      </c>
      <c r="I16" s="8">
        <f t="shared" si="2"/>
        <v>0</v>
      </c>
      <c r="J16" s="8">
        <f>10653.267045*E16*F16</f>
        <v>138.49247158500003</v>
      </c>
      <c r="K16" s="8">
        <f>6004.3253792214*E16*F16</f>
        <v>78.05622992987821</v>
      </c>
      <c r="L16" s="8">
        <f t="shared" si="0"/>
        <v>0</v>
      </c>
      <c r="M16" s="9">
        <f t="shared" si="1"/>
        <v>2308.2342279263985</v>
      </c>
    </row>
    <row r="17" spans="2:13" ht="12">
      <c r="B17" s="5">
        <v>10</v>
      </c>
      <c r="C17" s="6" t="s">
        <v>65</v>
      </c>
      <c r="D17" s="6" t="s">
        <v>66</v>
      </c>
      <c r="E17" s="7">
        <v>0.01</v>
      </c>
      <c r="F17" s="7">
        <v>0.1</v>
      </c>
      <c r="G17" s="8">
        <v>19.53</v>
      </c>
      <c r="H17" s="8">
        <v>44.86</v>
      </c>
      <c r="I17" s="8">
        <v>0</v>
      </c>
      <c r="J17" s="8">
        <v>9.8</v>
      </c>
      <c r="K17" s="8">
        <v>2.6</v>
      </c>
      <c r="L17" s="8">
        <v>0</v>
      </c>
      <c r="M17" s="9">
        <f>SUM(G17:L17)</f>
        <v>76.78999999999999</v>
      </c>
    </row>
    <row r="18" spans="2:13" ht="24">
      <c r="B18" s="5">
        <v>11</v>
      </c>
      <c r="C18" s="6" t="s">
        <v>29</v>
      </c>
      <c r="D18" s="6" t="s">
        <v>30</v>
      </c>
      <c r="E18" s="7">
        <v>1</v>
      </c>
      <c r="F18" s="7">
        <v>0.2</v>
      </c>
      <c r="G18" s="8">
        <f>39.3484*E18*F18</f>
        <v>7.86968</v>
      </c>
      <c r="H18" s="8">
        <f>844.909163*E18*F18</f>
        <v>168.98183260000002</v>
      </c>
      <c r="I18" s="8">
        <f t="shared" si="2"/>
        <v>0</v>
      </c>
      <c r="J18" s="8">
        <f>19.7528968*E18*F18</f>
        <v>3.95057936</v>
      </c>
      <c r="K18" s="8">
        <f>31.640366093*E18*F18</f>
        <v>6.3280732186</v>
      </c>
      <c r="L18" s="8">
        <f t="shared" si="0"/>
        <v>0</v>
      </c>
      <c r="M18" s="9">
        <f t="shared" si="1"/>
        <v>187.1301651786</v>
      </c>
    </row>
    <row r="19" spans="2:13" ht="12">
      <c r="B19" s="5">
        <v>12</v>
      </c>
      <c r="C19" s="6" t="s">
        <v>31</v>
      </c>
      <c r="D19" s="6" t="s">
        <v>32</v>
      </c>
      <c r="E19" s="7">
        <v>1</v>
      </c>
      <c r="F19" s="7">
        <v>0.2</v>
      </c>
      <c r="G19" s="8">
        <f>8.1263*E19*F19</f>
        <v>1.6252600000000001</v>
      </c>
      <c r="H19" s="8">
        <f>157.9487*E19*F19</f>
        <v>31.589740000000003</v>
      </c>
      <c r="I19" s="8">
        <f t="shared" si="2"/>
        <v>0</v>
      </c>
      <c r="J19" s="8">
        <f>4.0794026*E19*F19</f>
        <v>0.81588052</v>
      </c>
      <c r="K19" s="8">
        <f>5.955404091*E19*F19</f>
        <v>1.1910808182000001</v>
      </c>
      <c r="L19" s="8">
        <f t="shared" si="0"/>
        <v>0</v>
      </c>
      <c r="M19" s="9">
        <f t="shared" si="1"/>
        <v>35.2219613382</v>
      </c>
    </row>
    <row r="20" spans="2:13" ht="60">
      <c r="B20" s="5">
        <v>13</v>
      </c>
      <c r="C20" s="6" t="s">
        <v>33</v>
      </c>
      <c r="D20" s="6" t="s">
        <v>34</v>
      </c>
      <c r="E20" s="7">
        <v>0.005</v>
      </c>
      <c r="F20" s="7">
        <v>1</v>
      </c>
      <c r="G20" s="8">
        <f>819.8796*E20*F20</f>
        <v>4.099398</v>
      </c>
      <c r="H20" s="8">
        <f>0*E20*F20</f>
        <v>0</v>
      </c>
      <c r="I20" s="8">
        <f t="shared" si="2"/>
        <v>0</v>
      </c>
      <c r="J20" s="8">
        <f>411.5795592*E20*F20</f>
        <v>2.0578977960000002</v>
      </c>
      <c r="K20" s="8">
        <f>43.101070572*E20*F20</f>
        <v>0.21550535286</v>
      </c>
      <c r="L20" s="8">
        <f t="shared" si="0"/>
        <v>0</v>
      </c>
      <c r="M20" s="9">
        <f t="shared" si="1"/>
        <v>6.37280114886</v>
      </c>
    </row>
    <row r="21" spans="2:13" ht="12.75">
      <c r="B21" s="5"/>
      <c r="C21" s="13" t="s">
        <v>61</v>
      </c>
      <c r="D21" s="6"/>
      <c r="E21" s="7"/>
      <c r="F21" s="7"/>
      <c r="G21" s="8"/>
      <c r="H21" s="8"/>
      <c r="I21" s="8"/>
      <c r="J21" s="8"/>
      <c r="K21" s="8"/>
      <c r="L21" s="8"/>
      <c r="M21" s="26">
        <f>SUM(M15:M20)</f>
        <v>3123.2299037196713</v>
      </c>
    </row>
    <row r="22" spans="2:13" ht="12.75">
      <c r="B22" s="5"/>
      <c r="C22" s="13" t="s">
        <v>62</v>
      </c>
      <c r="D22" s="6"/>
      <c r="E22" s="7"/>
      <c r="F22" s="7"/>
      <c r="G22" s="8"/>
      <c r="H22" s="8"/>
      <c r="I22" s="8"/>
      <c r="J22" s="8"/>
      <c r="K22" s="8"/>
      <c r="L22" s="8"/>
      <c r="M22" s="26">
        <f>M21/12/300</f>
        <v>0.8675638621443532</v>
      </c>
    </row>
    <row r="23" spans="2:13" ht="12.75">
      <c r="B23" s="5"/>
      <c r="C23" s="13" t="s">
        <v>63</v>
      </c>
      <c r="D23" s="6"/>
      <c r="E23" s="7"/>
      <c r="F23" s="7"/>
      <c r="G23" s="8"/>
      <c r="H23" s="8"/>
      <c r="I23" s="8"/>
      <c r="J23" s="8"/>
      <c r="K23" s="8"/>
      <c r="L23" s="8"/>
      <c r="M23" s="26">
        <f>M22*1.18</f>
        <v>1.0237253573303366</v>
      </c>
    </row>
    <row r="24" spans="2:13" ht="36">
      <c r="B24" s="5">
        <v>14</v>
      </c>
      <c r="C24" s="6" t="s">
        <v>35</v>
      </c>
      <c r="D24" s="6" t="s">
        <v>36</v>
      </c>
      <c r="E24" s="7">
        <v>0.5</v>
      </c>
      <c r="F24" s="7">
        <v>96</v>
      </c>
      <c r="G24" s="8">
        <f>58.3214998023*E24*F24</f>
        <v>2799.4319905104003</v>
      </c>
      <c r="H24" s="8">
        <f>0.534702669101*E24*F24</f>
        <v>25.665728116847998</v>
      </c>
      <c r="I24" s="8">
        <f t="shared" si="2"/>
        <v>0</v>
      </c>
      <c r="J24" s="8">
        <f>29.277392900755*E24*F24</f>
        <v>1405.31485923624</v>
      </c>
      <c r="K24" s="8">
        <f>3.0846758380254*E24*F24</f>
        <v>148.0644402252192</v>
      </c>
      <c r="L24" s="8">
        <f t="shared" si="0"/>
        <v>0</v>
      </c>
      <c r="M24" s="9">
        <f t="shared" si="1"/>
        <v>4378.477018088707</v>
      </c>
    </row>
    <row r="25" spans="2:13" ht="12.75">
      <c r="B25" s="5"/>
      <c r="C25" s="13" t="s">
        <v>61</v>
      </c>
      <c r="D25" s="6"/>
      <c r="E25" s="7"/>
      <c r="F25" s="7"/>
      <c r="G25" s="8"/>
      <c r="H25" s="8"/>
      <c r="I25" s="8"/>
      <c r="J25" s="8"/>
      <c r="K25" s="8"/>
      <c r="L25" s="8"/>
      <c r="M25" s="26">
        <f>M24</f>
        <v>4378.477018088707</v>
      </c>
    </row>
    <row r="26" spans="2:13" ht="12.75">
      <c r="B26" s="5"/>
      <c r="C26" s="13" t="s">
        <v>62</v>
      </c>
      <c r="D26" s="6"/>
      <c r="E26" s="7"/>
      <c r="F26" s="7"/>
      <c r="G26" s="8"/>
      <c r="H26" s="8"/>
      <c r="I26" s="8"/>
      <c r="J26" s="8"/>
      <c r="K26" s="8"/>
      <c r="L26" s="8"/>
      <c r="M26" s="26">
        <f>M25/12/300</f>
        <v>1.216243616135752</v>
      </c>
    </row>
    <row r="27" spans="2:13" ht="12.75">
      <c r="B27" s="5"/>
      <c r="C27" s="13" t="s">
        <v>63</v>
      </c>
      <c r="D27" s="6"/>
      <c r="E27" s="7"/>
      <c r="F27" s="7"/>
      <c r="G27" s="8"/>
      <c r="H27" s="8"/>
      <c r="I27" s="8"/>
      <c r="J27" s="8"/>
      <c r="K27" s="8"/>
      <c r="L27" s="8"/>
      <c r="M27" s="26">
        <f>M26*1.18</f>
        <v>1.4351674670401873</v>
      </c>
    </row>
    <row r="28" spans="2:13" ht="24">
      <c r="B28" s="5">
        <v>15</v>
      </c>
      <c r="C28" s="6" t="s">
        <v>37</v>
      </c>
      <c r="D28" s="6" t="s">
        <v>38</v>
      </c>
      <c r="E28" s="7">
        <v>0.5</v>
      </c>
      <c r="F28" s="7">
        <v>48</v>
      </c>
      <c r="G28" s="8">
        <f>78.8823*E28*F28</f>
        <v>1893.1752000000001</v>
      </c>
      <c r="H28" s="8">
        <f>1.6336*E28*F28</f>
        <v>39.2064</v>
      </c>
      <c r="I28" s="8">
        <f t="shared" si="2"/>
        <v>0</v>
      </c>
      <c r="J28" s="8">
        <f>39.5989146*E28*F28</f>
        <v>950.3739504</v>
      </c>
      <c r="K28" s="8">
        <f>4.204018511*E28*F28</f>
        <v>100.896444264</v>
      </c>
      <c r="L28" s="8">
        <f t="shared" si="0"/>
        <v>0</v>
      </c>
      <c r="M28" s="9">
        <f t="shared" si="1"/>
        <v>2983.651994664</v>
      </c>
    </row>
    <row r="29" spans="2:13" ht="12">
      <c r="B29" s="5">
        <v>16</v>
      </c>
      <c r="C29" s="6" t="s">
        <v>39</v>
      </c>
      <c r="D29" s="6" t="s">
        <v>40</v>
      </c>
      <c r="E29" s="7">
        <v>0.0006</v>
      </c>
      <c r="F29" s="7">
        <v>12</v>
      </c>
      <c r="G29" s="8">
        <f>7611.2523*E29*F29</f>
        <v>54.801016559999994</v>
      </c>
      <c r="H29" s="8">
        <f>96*E29*F29</f>
        <v>0.6912</v>
      </c>
      <c r="I29" s="8">
        <f t="shared" si="2"/>
        <v>0</v>
      </c>
      <c r="J29" s="8">
        <f>3820.8486546*E29*F29</f>
        <v>27.51011031312</v>
      </c>
      <c r="K29" s="8">
        <f>403.483533411*E29*F29</f>
        <v>2.9050814405592</v>
      </c>
      <c r="L29" s="8">
        <f t="shared" si="0"/>
        <v>0</v>
      </c>
      <c r="M29" s="9">
        <f t="shared" si="1"/>
        <v>85.9074083136792</v>
      </c>
    </row>
    <row r="30" spans="2:13" ht="12">
      <c r="B30" s="5">
        <v>17</v>
      </c>
      <c r="C30" s="6" t="s">
        <v>41</v>
      </c>
      <c r="D30" s="6" t="s">
        <v>42</v>
      </c>
      <c r="E30" s="7">
        <v>0.4</v>
      </c>
      <c r="F30" s="7">
        <v>2</v>
      </c>
      <c r="G30" s="8">
        <f>58.1238*E30*F30</f>
        <v>46.49904000000001</v>
      </c>
      <c r="H30" s="8">
        <f>74.62244896*E30*F30</f>
        <v>59.697959168000004</v>
      </c>
      <c r="I30" s="8">
        <f>65.2428*E30*F30</f>
        <v>52.19424000000001</v>
      </c>
      <c r="J30" s="8">
        <f>29.1781476*E30*F30</f>
        <v>23.34251808</v>
      </c>
      <c r="K30" s="8">
        <f>7.9508518796*E30*F30</f>
        <v>6.36068150368</v>
      </c>
      <c r="L30" s="8">
        <f t="shared" si="0"/>
        <v>0</v>
      </c>
      <c r="M30" s="9">
        <f t="shared" si="1"/>
        <v>188.09443875168003</v>
      </c>
    </row>
    <row r="31" spans="2:13" ht="36">
      <c r="B31" s="5">
        <v>18</v>
      </c>
      <c r="C31" s="6" t="s">
        <v>43</v>
      </c>
      <c r="D31" s="6" t="s">
        <v>44</v>
      </c>
      <c r="E31" s="7">
        <v>0.005</v>
      </c>
      <c r="F31" s="7">
        <v>5</v>
      </c>
      <c r="G31" s="8">
        <f>1383.7023*E31*F31</f>
        <v>34.5925575</v>
      </c>
      <c r="H31" s="8">
        <f>23.1966*E31*F31</f>
        <v>0.579915</v>
      </c>
      <c r="I31" s="8">
        <f>0*E31*F31</f>
        <v>0</v>
      </c>
      <c r="J31" s="8">
        <f>694.6185546*E31*F31</f>
        <v>17.365463865000002</v>
      </c>
      <c r="K31" s="8">
        <f>73.553110911*E31*F31</f>
        <v>1.8388277727750002</v>
      </c>
      <c r="L31" s="8">
        <f t="shared" si="0"/>
        <v>0</v>
      </c>
      <c r="M31" s="9">
        <f t="shared" si="1"/>
        <v>54.376764137775</v>
      </c>
    </row>
    <row r="32" spans="2:13" ht="12">
      <c r="B32" s="5">
        <v>19</v>
      </c>
      <c r="C32" s="6" t="s">
        <v>45</v>
      </c>
      <c r="D32" s="6" t="s">
        <v>46</v>
      </c>
      <c r="E32" s="7">
        <v>0.02</v>
      </c>
      <c r="F32" s="7">
        <v>5</v>
      </c>
      <c r="G32" s="8">
        <f>12.81096*E32*F32</f>
        <v>1.2810959999999998</v>
      </c>
      <c r="H32" s="8">
        <f>192.3915*E32*F32</f>
        <v>19.239150000000002</v>
      </c>
      <c r="I32" s="8">
        <f>0*E32*F32</f>
        <v>0</v>
      </c>
      <c r="J32" s="8">
        <f>6.43110192*E32*F32</f>
        <v>0.643110192</v>
      </c>
      <c r="K32" s="8">
        <f>7.4071746672*E32*F32</f>
        <v>0.7407174667199999</v>
      </c>
      <c r="L32" s="8">
        <f t="shared" si="0"/>
        <v>0</v>
      </c>
      <c r="M32" s="9">
        <f t="shared" si="1"/>
        <v>21.90407365872</v>
      </c>
    </row>
    <row r="33" spans="2:13" ht="24">
      <c r="B33" s="5">
        <v>20</v>
      </c>
      <c r="C33" s="6" t="s">
        <v>47</v>
      </c>
      <c r="D33" s="6" t="s">
        <v>48</v>
      </c>
      <c r="E33" s="7">
        <v>0.01</v>
      </c>
      <c r="F33" s="7">
        <v>5</v>
      </c>
      <c r="G33" s="8">
        <f>81.8478*E33*F33</f>
        <v>4.09239</v>
      </c>
      <c r="H33" s="8">
        <f>0.231966*E33*F33</f>
        <v>0.011598300000000002</v>
      </c>
      <c r="I33" s="8">
        <f>0*E33*F33</f>
        <v>0</v>
      </c>
      <c r="J33" s="8">
        <f>41.0875956*E33*F33</f>
        <v>2.05437978</v>
      </c>
      <c r="K33" s="8">
        <f>4.310857656*E33*F33</f>
        <v>0.21554288279999997</v>
      </c>
      <c r="L33" s="8">
        <f t="shared" si="0"/>
        <v>0</v>
      </c>
      <c r="M33" s="9">
        <f t="shared" si="1"/>
        <v>6.373910962800001</v>
      </c>
    </row>
    <row r="34" spans="2:13" ht="24">
      <c r="B34" s="5">
        <v>21</v>
      </c>
      <c r="C34" s="6" t="s">
        <v>49</v>
      </c>
      <c r="D34" s="6" t="s">
        <v>48</v>
      </c>
      <c r="E34" s="7">
        <v>0.02</v>
      </c>
      <c r="F34" s="7">
        <v>36</v>
      </c>
      <c r="G34" s="8">
        <f>15.12405*E34*F34</f>
        <v>10.889316</v>
      </c>
      <c r="H34" s="8">
        <f>0.16336*E34*F34</f>
        <v>0.11761920000000001</v>
      </c>
      <c r="I34" s="8">
        <f>0*E34*F34</f>
        <v>0</v>
      </c>
      <c r="J34" s="8">
        <f>7.5922731*E34*F34</f>
        <v>5.466436632000001</v>
      </c>
      <c r="K34" s="8">
        <f>0.8007889085*E34*F34</f>
        <v>0.5765680141199999</v>
      </c>
      <c r="L34" s="8">
        <f t="shared" si="0"/>
        <v>0</v>
      </c>
      <c r="M34" s="9">
        <f t="shared" si="1"/>
        <v>17.04993984612</v>
      </c>
    </row>
    <row r="35" spans="2:13" ht="12">
      <c r="B35" s="14">
        <v>22</v>
      </c>
      <c r="C35" s="15" t="s">
        <v>50</v>
      </c>
      <c r="D35" s="15" t="s">
        <v>42</v>
      </c>
      <c r="E35" s="16">
        <v>0.02</v>
      </c>
      <c r="F35" s="16">
        <v>260</v>
      </c>
      <c r="G35" s="17">
        <f>144.1233*E35*F35</f>
        <v>749.44116</v>
      </c>
      <c r="H35" s="17">
        <f>1.6*E35*F35</f>
        <v>8.32</v>
      </c>
      <c r="I35" s="17">
        <f>0*E35*F35</f>
        <v>0</v>
      </c>
      <c r="J35" s="17">
        <f>72.3498966*E35*F35</f>
        <v>376.21946232</v>
      </c>
      <c r="K35" s="17">
        <f>7.632561881*E35*F35</f>
        <v>39.6893217812</v>
      </c>
      <c r="L35" s="17">
        <f t="shared" si="0"/>
        <v>0</v>
      </c>
      <c r="M35" s="18">
        <f t="shared" si="1"/>
        <v>1173.6699441012001</v>
      </c>
    </row>
    <row r="36" spans="2:13" ht="12.75">
      <c r="B36" s="21"/>
      <c r="C36" s="22" t="s">
        <v>61</v>
      </c>
      <c r="D36" s="23"/>
      <c r="E36" s="24"/>
      <c r="F36" s="24"/>
      <c r="G36" s="25"/>
      <c r="H36" s="25"/>
      <c r="I36" s="25"/>
      <c r="J36" s="25"/>
      <c r="K36" s="25"/>
      <c r="L36" s="25"/>
      <c r="M36" s="27">
        <f>SUM(M28:M35)</f>
        <v>4531.028474435974</v>
      </c>
    </row>
    <row r="37" spans="2:13" ht="12.75">
      <c r="B37" s="21"/>
      <c r="C37" s="22" t="s">
        <v>62</v>
      </c>
      <c r="D37" s="23"/>
      <c r="E37" s="24"/>
      <c r="F37" s="24"/>
      <c r="G37" s="25"/>
      <c r="H37" s="25"/>
      <c r="I37" s="25"/>
      <c r="J37" s="25"/>
      <c r="K37" s="25"/>
      <c r="L37" s="25"/>
      <c r="M37" s="27">
        <f>M36/12/300</f>
        <v>1.2586190206766596</v>
      </c>
    </row>
    <row r="38" spans="2:13" ht="12.75">
      <c r="B38" s="21"/>
      <c r="C38" s="22" t="s">
        <v>63</v>
      </c>
      <c r="D38" s="23"/>
      <c r="E38" s="24"/>
      <c r="F38" s="24"/>
      <c r="G38" s="25"/>
      <c r="H38" s="25"/>
      <c r="I38" s="25"/>
      <c r="J38" s="25"/>
      <c r="K38" s="25"/>
      <c r="L38" s="25"/>
      <c r="M38" s="27">
        <f>M37*1.18</f>
        <v>1.4851704443984584</v>
      </c>
    </row>
    <row r="39" spans="2:13" ht="12.75" thickBot="1">
      <c r="B39" s="35" t="s">
        <v>51</v>
      </c>
      <c r="C39" s="36"/>
      <c r="D39" s="36"/>
      <c r="E39" s="36"/>
      <c r="F39" s="36"/>
      <c r="G39" s="19">
        <f aca="true" t="shared" si="3" ref="G39:L39">SUM(G5:G35)</f>
        <v>6622.4135738704</v>
      </c>
      <c r="H39" s="19">
        <f t="shared" si="3"/>
        <v>6929.367896153482</v>
      </c>
      <c r="I39" s="19">
        <f t="shared" si="3"/>
        <v>58.99166280000001</v>
      </c>
      <c r="J39" s="19">
        <f t="shared" si="3"/>
        <v>3324.4475540829603</v>
      </c>
      <c r="K39" s="19">
        <f t="shared" si="3"/>
        <v>592.7360740417405</v>
      </c>
      <c r="L39" s="19">
        <f t="shared" si="3"/>
        <v>0</v>
      </c>
      <c r="M39" s="20">
        <f>M12+M21+M25+M36</f>
        <v>17527.956760948582</v>
      </c>
    </row>
    <row r="43" spans="4:11" ht="19.5">
      <c r="D43" s="37" t="s">
        <v>52</v>
      </c>
      <c r="E43" s="37"/>
      <c r="F43" s="37"/>
      <c r="G43" s="37"/>
      <c r="H43" s="37"/>
      <c r="I43" s="37"/>
      <c r="J43" s="37"/>
      <c r="K43" s="37"/>
    </row>
    <row r="44" spans="4:11" ht="15.75">
      <c r="D44" s="12" t="s">
        <v>53</v>
      </c>
      <c r="E44" s="38">
        <f>G39</f>
        <v>6622.4135738704</v>
      </c>
      <c r="F44" s="38"/>
      <c r="G44" s="11"/>
      <c r="H44" s="11"/>
      <c r="I44" s="12" t="s">
        <v>54</v>
      </c>
      <c r="J44" s="38">
        <f>J39</f>
        <v>3324.4475540829603</v>
      </c>
      <c r="K44" s="38"/>
    </row>
    <row r="45" spans="4:11" ht="15.75">
      <c r="D45" s="12" t="s">
        <v>55</v>
      </c>
      <c r="E45" s="38">
        <f>H39</f>
        <v>6929.367896153482</v>
      </c>
      <c r="F45" s="38"/>
      <c r="G45" s="11"/>
      <c r="H45" s="11"/>
      <c r="I45" s="12" t="s">
        <v>56</v>
      </c>
      <c r="J45" s="38">
        <f>K39</f>
        <v>592.7360740417405</v>
      </c>
      <c r="K45" s="38"/>
    </row>
    <row r="46" spans="4:11" ht="15.75">
      <c r="D46" s="12" t="s">
        <v>57</v>
      </c>
      <c r="E46" s="38">
        <f>I39</f>
        <v>58.99166280000001</v>
      </c>
      <c r="F46" s="38"/>
      <c r="G46" s="11"/>
      <c r="H46" s="11"/>
      <c r="I46" s="12" t="s">
        <v>58</v>
      </c>
      <c r="J46" s="38">
        <f>L39</f>
        <v>0</v>
      </c>
      <c r="K46" s="38"/>
    </row>
    <row r="47" spans="4:11" ht="15.75">
      <c r="D47" s="12"/>
      <c r="E47" s="11"/>
      <c r="F47" s="11"/>
      <c r="G47" s="11"/>
      <c r="H47" s="11"/>
      <c r="I47" s="12" t="s">
        <v>59</v>
      </c>
      <c r="J47" s="38">
        <f>M39</f>
        <v>17527.956760948582</v>
      </c>
      <c r="K47" s="38"/>
    </row>
    <row r="48" spans="9:11" ht="15">
      <c r="I48" s="12" t="s">
        <v>64</v>
      </c>
      <c r="K48" s="28">
        <f>J47*1.18</f>
        <v>20682.988977919325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E46:F46"/>
    <mergeCell ref="J46:K46"/>
    <mergeCell ref="J47:K47"/>
    <mergeCell ref="E44:F44"/>
    <mergeCell ref="J44:K44"/>
    <mergeCell ref="E45:F45"/>
    <mergeCell ref="J45:K45"/>
    <mergeCell ref="B1:M1"/>
    <mergeCell ref="B4:M4"/>
    <mergeCell ref="B39:F39"/>
    <mergeCell ref="D43:K43"/>
  </mergeCells>
  <printOptions/>
  <pageMargins left="0.35" right="0.35" top="0.35" bottom="0.35" header="0.3" footer="0.3"/>
  <pageSetup fitToHeight="0" fitToWidth="1" horizontalDpi="600" verticalDpi="600" orientation="landscape" paperSize="9" scale="80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РЎРјРµС‚Р° СЂР°СЃС…РѕРґРѕРІ</dc:title>
  <dc:subject>РЎРјРµС‚Р° СЂР°СЃС…РѕРґРѕРІ</dc:subject>
  <dc:creator>РњРљР”-СЂР°СЃС‡РµС‚. Р¦РµРЅС‚СЂ РјСѓРЅРёС†РёРїР°Р»СЊРЅРѕР№ СЌРєРѕРЅРѕРјРёРєРё Рё РїСЂР°РІР°</dc:creator>
  <cp:keywords>СЃРјРµС‚Р° СЂР°СЃС‡РµС‚ Р¶РєС…</cp:keywords>
  <dc:description>РЎРјРµС‚Р° СЂР°СЃС…РѕРґРѕРІ РІРєР»СЋС‡Р°РµС‚ РїРµСЂРµС‡РµРЅСЊ СЂР°Р±РѕС‚ Рё РїРµСЂРµС‡РµРЅСЊ СЂРµСЃСѓСЂСЃРѕРІ</dc:description>
  <cp:lastModifiedBy>Customer</cp:lastModifiedBy>
  <cp:lastPrinted>2015-05-21T11:08:04Z</cp:lastPrinted>
  <dcterms:created xsi:type="dcterms:W3CDTF">2015-05-21T10:30:16Z</dcterms:created>
  <dcterms:modified xsi:type="dcterms:W3CDTF">2015-07-23T11:43:41Z</dcterms:modified>
  <cp:category>Test result file</cp:category>
  <cp:version/>
  <cp:contentType/>
  <cp:contentStatus/>
</cp:coreProperties>
</file>