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</sheets>
  <definedNames>
    <definedName name="_xlnm.Print_Titles" localSheetId="0">'Работы'!$3:$3</definedName>
  </definedNames>
  <calcPr fullCalcOnLoad="1" refMode="R1C1"/>
</workbook>
</file>

<file path=xl/sharedStrings.xml><?xml version="1.0" encoding="utf-8"?>
<sst xmlns="http://schemas.openxmlformats.org/spreadsheetml/2006/main" count="88" uniqueCount="71">
  <si>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</si>
  <si>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</si>
  <si>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</si>
  <si>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</si>
  <si>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</si>
  <si>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</si>
  <si>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</si>
  <si>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</si>
  <si>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</si>
  <si>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</si>
  <si>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</si>
  <si>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</si>
  <si>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смета для домов 3 группы</t>
  </si>
  <si>
    <t>Усиление фундаментов цементацией</t>
  </si>
  <si>
    <t>100 м3 фундамента</t>
  </si>
  <si>
    <t>Восстановление (ремонт) отмостки</t>
  </si>
  <si>
    <t>100 м2 отмостки</t>
  </si>
  <si>
    <t>Известковая окраска ранее окрашенных поверхностей стен</t>
  </si>
  <si>
    <t>100 м2 окрашенной поверхности</t>
  </si>
  <si>
    <t>Смена поврежденных листов асбоцементных кровель</t>
  </si>
  <si>
    <t>100 м2 сменяемого покрытия</t>
  </si>
  <si>
    <t>Смена воронок</t>
  </si>
  <si>
    <t>100 шт.</t>
  </si>
  <si>
    <t>Смена простых колен</t>
  </si>
  <si>
    <t>Окрашивание масляными составами деревянных поручней</t>
  </si>
  <si>
    <t>100  м поручня</t>
  </si>
  <si>
    <t>Смена отдельных участков трубопроводов  водоснабжения из стальных электросварных труб диаметром 50 мм</t>
  </si>
  <si>
    <t>100 м трубопроводов</t>
  </si>
  <si>
    <t>Смена отдельных участков чугунных труб и  внутренних чугунных канализационных выпусков при диаметре канализационного выпуска 100 мм</t>
  </si>
  <si>
    <t>Ремонт, замена  внутридомовых электрических сетей</t>
  </si>
  <si>
    <t>1000 пог.м.</t>
  </si>
  <si>
    <t>Ремонт щитков</t>
  </si>
  <si>
    <t>1 щит</t>
  </si>
  <si>
    <t>Ремонт светильника с лампами накаливания или энергосберегающими лампами</t>
  </si>
  <si>
    <t>1 светильник</t>
  </si>
  <si>
    <t>Замена лампы накаливания на энергосберегательную</t>
  </si>
  <si>
    <t>1 лампа</t>
  </si>
  <si>
    <t>Устранение аварии на внутридомовых инженерных сетях при сроке эксплуатации многоквартирного дома от 31 до 50 лет</t>
  </si>
  <si>
    <t>1000 м2  общей площади жилых помещений, оборудованных газовыми плитами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</si>
  <si>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</si>
  <si>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 xml:space="preserve">100 м2  мест общего пользования  </t>
  </si>
  <si>
    <t>Мытье  лестничных площадок и маршей нижних трех этажей (в доме без лифтов и мусоропровода)</t>
  </si>
  <si>
    <t>1 000 кв.м. территории</t>
  </si>
  <si>
    <t>Уборка газонов от случайного мусора</t>
  </si>
  <si>
    <t>100 000 м2</t>
  </si>
  <si>
    <t>Стрижка газонов</t>
  </si>
  <si>
    <t>на 100 кв.м.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</si>
  <si>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</si>
  <si>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</si>
  <si>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Посыпка территории I класса</t>
  </si>
  <si>
    <t>100 кв. м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</si>
  <si>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</si>
  <si>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</si>
  <si>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</si>
  <si>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Уборка мусора на  контейнерных  площадках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</si>
  <si>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</si>
  <si>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</si>
  <si>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</si>
  <si>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</si>
  <si>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</si>
  <si>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</si>
  <si>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</si>
  <si>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</si>
  <si>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</si>
  <si>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Смета расходов. Список работ для домов 3 группы благоустройства</t>
  </si>
  <si>
    <t>Итого:</t>
  </si>
  <si>
    <t>Итого 1 м2 б/НДС, руб./м2</t>
  </si>
  <si>
    <t>ИТОГО с НДС, руб.:</t>
  </si>
  <si>
    <t>Итого 1 м2 с НДС, руб./м2</t>
  </si>
  <si>
    <t>Подметание   земельного участка с усовершенствованным покрытием 1 класса</t>
  </si>
  <si>
    <t>Подметание   земельного участка без покрытия 1 класса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</si>
</sst>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8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9"/>
      <color indexed="10"/>
      <name val="Arial"/>
      <family val="0"/>
    </font>
    <font>
      <b/>
      <sz val="11"/>
      <color indexed="10"/>
      <name val="Courier"/>
      <family val="0"/>
    </font>
    <font>
      <b/>
      <sz val="11"/>
      <color indexed="10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8">
    <xf numFmtId="0" fontId="0" fillId="0" borderId="0" xfId="0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4" fontId="0" fillId="0" borderId="5" xfId="0" applyNumberFormat="1" applyFill="1" applyBorder="1" applyAlignment="1" applyProtection="1">
      <alignment horizontal="right" vertical="center"/>
      <protection/>
    </xf>
    <xf numFmtId="4" fontId="0" fillId="0" borderId="6" xfId="0" applyNumberFormat="1" applyFill="1" applyBorder="1" applyAlignment="1" applyProtection="1">
      <alignment horizontal="righ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7" fillId="0" borderId="5" xfId="0" applyFont="1" applyFill="1" applyBorder="1" applyAlignment="1" applyProtection="1">
      <alignment horizontal="left" vertical="center" wrapText="1"/>
      <protection/>
    </xf>
    <xf numFmtId="4" fontId="7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left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4" fontId="0" fillId="0" borderId="8" xfId="0" applyNumberFormat="1" applyFill="1" applyBorder="1" applyAlignment="1" applyProtection="1">
      <alignment horizontal="right" vertical="center"/>
      <protection/>
    </xf>
    <xf numFmtId="4" fontId="0" fillId="0" borderId="9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/>
    </xf>
    <xf numFmtId="2" fontId="7" fillId="0" borderId="10" xfId="0" applyNumberFormat="1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4" fontId="0" fillId="0" borderId="5" xfId="0" applyNumberFormat="1" applyFill="1" applyBorder="1" applyAlignment="1" applyProtection="1">
      <alignment horizontal="right" vertical="center"/>
      <protection/>
    </xf>
    <xf numFmtId="4" fontId="0" fillId="0" borderId="6" xfId="0" applyNumberForma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 applyProtection="1">
      <alignment horizontal="left" vertical="center" wrapText="1"/>
      <protection/>
    </xf>
    <xf numFmtId="4" fontId="7" fillId="0" borderId="6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workbookViewId="0" topLeftCell="B1">
      <selection activeCell="B1" sqref="B1:M1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3" width="15.00390625" style="0" customWidth="1"/>
  </cols>
  <sheetData>
    <row r="1" spans="2:13" ht="27.75" customHeight="1">
      <c r="B1" s="38" t="s">
        <v>64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3" spans="1:13" ht="40.5">
      <c r="A3" s="1"/>
      <c r="B3" s="10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</row>
    <row r="4" spans="2:13" ht="19.5" customHeight="1">
      <c r="B4" s="39" t="s">
        <v>12</v>
      </c>
      <c r="C4" s="40"/>
      <c r="D4" s="40"/>
      <c r="E4" s="41"/>
      <c r="F4" s="41"/>
      <c r="G4" s="42"/>
      <c r="H4" s="42"/>
      <c r="I4" s="42"/>
      <c r="J4" s="42"/>
      <c r="K4" s="42"/>
      <c r="L4" s="42"/>
      <c r="M4" s="43"/>
    </row>
    <row r="5" spans="2:13" ht="12">
      <c r="B5" s="31">
        <v>1</v>
      </c>
      <c r="C5" s="32" t="s">
        <v>13</v>
      </c>
      <c r="D5" s="32" t="s">
        <v>14</v>
      </c>
      <c r="E5" s="33">
        <v>0.027</v>
      </c>
      <c r="F5" s="33">
        <v>1</v>
      </c>
      <c r="G5" s="34">
        <f>48675.0586*E5*F5</f>
        <v>1314.2265822</v>
      </c>
      <c r="H5" s="34">
        <f>192085.7345554*E5*F5</f>
        <v>5186.3148329958</v>
      </c>
      <c r="I5" s="34">
        <f>1132.9038*E5*F5</f>
        <v>30.588402600000002</v>
      </c>
      <c r="J5" s="34">
        <f>24434.8794172*E5*F5</f>
        <v>659.7417442644</v>
      </c>
      <c r="K5" s="34">
        <f>9321.500173041*E5*F5</f>
        <v>251.68050467210702</v>
      </c>
      <c r="L5" s="34">
        <f aca="true" t="shared" si="0" ref="L5:L38">0*E5*F5</f>
        <v>0</v>
      </c>
      <c r="M5" s="35">
        <f aca="true" t="shared" si="1" ref="M5:M38">SUM(G5:L5)</f>
        <v>7442.552066732308</v>
      </c>
    </row>
    <row r="6" spans="2:13" ht="12">
      <c r="B6" s="31">
        <v>2</v>
      </c>
      <c r="C6" s="32" t="s">
        <v>15</v>
      </c>
      <c r="D6" s="32" t="s">
        <v>16</v>
      </c>
      <c r="E6" s="33">
        <v>0.02</v>
      </c>
      <c r="F6" s="33">
        <v>1</v>
      </c>
      <c r="G6" s="34">
        <f>1999.1215*E6*F6</f>
        <v>39.98243</v>
      </c>
      <c r="H6" s="34">
        <f>36014.7796925*E6*F6</f>
        <v>720.29559385</v>
      </c>
      <c r="I6" s="34">
        <f aca="true" t="shared" si="2" ref="I6:I32">0*E6*F6</f>
        <v>0</v>
      </c>
      <c r="J6" s="34">
        <f>1003.558993*E6*F6</f>
        <v>20.07117986</v>
      </c>
      <c r="K6" s="34">
        <f>1365.6111064925*E6*F6</f>
        <v>27.312222129850003</v>
      </c>
      <c r="L6" s="34">
        <f t="shared" si="0"/>
        <v>0</v>
      </c>
      <c r="M6" s="35">
        <f t="shared" si="1"/>
        <v>807.6614258398502</v>
      </c>
    </row>
    <row r="7" spans="2:13" ht="24">
      <c r="B7" s="31">
        <v>3</v>
      </c>
      <c r="C7" s="32" t="s">
        <v>17</v>
      </c>
      <c r="D7" s="32" t="s">
        <v>18</v>
      </c>
      <c r="E7" s="33">
        <v>1</v>
      </c>
      <c r="F7" s="33">
        <v>1</v>
      </c>
      <c r="G7" s="34">
        <f>556.075*E7*F7</f>
        <v>556.075</v>
      </c>
      <c r="H7" s="34">
        <f>368.5874346*E7*F7</f>
        <v>368.5874346</v>
      </c>
      <c r="I7" s="34">
        <f t="shared" si="2"/>
        <v>0</v>
      </c>
      <c r="J7" s="34">
        <f>279.14965*E7*F7</f>
        <v>279.14965</v>
      </c>
      <c r="K7" s="34">
        <f>42.133422961*E7*F7</f>
        <v>42.133422961</v>
      </c>
      <c r="L7" s="34">
        <f t="shared" si="0"/>
        <v>0</v>
      </c>
      <c r="M7" s="35">
        <f t="shared" si="1"/>
        <v>1245.945507561</v>
      </c>
    </row>
    <row r="8" spans="2:13" ht="24">
      <c r="B8" s="31">
        <v>4</v>
      </c>
      <c r="C8" s="32" t="s">
        <v>19</v>
      </c>
      <c r="D8" s="32" t="s">
        <v>20</v>
      </c>
      <c r="E8" s="33">
        <v>0.02</v>
      </c>
      <c r="F8" s="33">
        <v>1</v>
      </c>
      <c r="G8" s="34">
        <f>3981.74*E8*F8</f>
        <v>79.6348</v>
      </c>
      <c r="H8" s="34">
        <f>34361.80637141*E8*F8</f>
        <v>687.2361274282</v>
      </c>
      <c r="I8" s="34">
        <f t="shared" si="2"/>
        <v>0</v>
      </c>
      <c r="J8" s="34">
        <f>1998.83348*E8*F8</f>
        <v>39.9766696</v>
      </c>
      <c r="K8" s="34">
        <f>1411.9832947994*E8*F8</f>
        <v>28.239665895988</v>
      </c>
      <c r="L8" s="34">
        <f t="shared" si="0"/>
        <v>0</v>
      </c>
      <c r="M8" s="35">
        <f t="shared" si="1"/>
        <v>835.087262924188</v>
      </c>
    </row>
    <row r="9" spans="2:13" ht="12">
      <c r="B9" s="31">
        <v>5</v>
      </c>
      <c r="C9" s="32" t="s">
        <v>21</v>
      </c>
      <c r="D9" s="32" t="s">
        <v>22</v>
      </c>
      <c r="E9" s="33">
        <v>0.02</v>
      </c>
      <c r="F9" s="33">
        <v>1</v>
      </c>
      <c r="G9" s="34">
        <f>3270.78654*E9*F9</f>
        <v>65.4157308</v>
      </c>
      <c r="H9" s="34">
        <f>31603.5294225*E9*F9</f>
        <v>632.0705884500001</v>
      </c>
      <c r="I9" s="34">
        <f t="shared" si="2"/>
        <v>0</v>
      </c>
      <c r="J9" s="34">
        <f>1641.93484308*E9*F9</f>
        <v>32.8386968616</v>
      </c>
      <c r="K9" s="34">
        <f>1278.0687781953*E9*F9</f>
        <v>25.561375563906</v>
      </c>
      <c r="L9" s="34">
        <f t="shared" si="0"/>
        <v>0</v>
      </c>
      <c r="M9" s="35">
        <f t="shared" si="1"/>
        <v>755.886391675506</v>
      </c>
    </row>
    <row r="10" spans="2:13" ht="12">
      <c r="B10" s="31">
        <v>6</v>
      </c>
      <c r="C10" s="32" t="s">
        <v>23</v>
      </c>
      <c r="D10" s="32" t="s">
        <v>22</v>
      </c>
      <c r="E10" s="33">
        <v>0.02</v>
      </c>
      <c r="F10" s="33">
        <v>1</v>
      </c>
      <c r="G10" s="34">
        <f>7301.2736*E10*F10</f>
        <v>146.025472</v>
      </c>
      <c r="H10" s="34">
        <f>19896.2499225*E10*F10</f>
        <v>397.92499845</v>
      </c>
      <c r="I10" s="34">
        <f t="shared" si="2"/>
        <v>0</v>
      </c>
      <c r="J10" s="34">
        <f>3665.2393472*E10*F10</f>
        <v>73.304786944</v>
      </c>
      <c r="K10" s="34">
        <f>1080.1967004395*E10*F10</f>
        <v>21.603934008790002</v>
      </c>
      <c r="L10" s="34">
        <f t="shared" si="0"/>
        <v>0</v>
      </c>
      <c r="M10" s="35">
        <f t="shared" si="1"/>
        <v>638.85919140279</v>
      </c>
    </row>
    <row r="11" spans="2:13" ht="24">
      <c r="B11" s="31">
        <v>7</v>
      </c>
      <c r="C11" s="32" t="s">
        <v>24</v>
      </c>
      <c r="D11" s="32" t="s">
        <v>25</v>
      </c>
      <c r="E11" s="33">
        <v>1</v>
      </c>
      <c r="F11" s="33">
        <v>1</v>
      </c>
      <c r="G11" s="34">
        <f>781.26448*E11*F11</f>
        <v>781.26448</v>
      </c>
      <c r="H11" s="34">
        <f>285.029131058*E11*F11</f>
        <v>285.029131058</v>
      </c>
      <c r="I11" s="34">
        <f t="shared" si="2"/>
        <v>0</v>
      </c>
      <c r="J11" s="34">
        <f>392.19476896*E11*F11</f>
        <v>392.19476896</v>
      </c>
      <c r="K11" s="34">
        <f>51.04709330063*E11*F11</f>
        <v>51.04709330063</v>
      </c>
      <c r="L11" s="34">
        <f t="shared" si="0"/>
        <v>0</v>
      </c>
      <c r="M11" s="35">
        <f t="shared" si="1"/>
        <v>1509.53547331863</v>
      </c>
    </row>
    <row r="12" spans="2:13" ht="12.75">
      <c r="B12" s="31"/>
      <c r="C12" s="36" t="s">
        <v>65</v>
      </c>
      <c r="D12" s="32"/>
      <c r="E12" s="33"/>
      <c r="F12" s="33"/>
      <c r="G12" s="34"/>
      <c r="H12" s="34"/>
      <c r="I12" s="34"/>
      <c r="J12" s="34"/>
      <c r="K12" s="34"/>
      <c r="L12" s="34"/>
      <c r="M12" s="37">
        <f>SUM(M5:M11)</f>
        <v>13235.527319454271</v>
      </c>
    </row>
    <row r="13" spans="2:13" ht="12.75">
      <c r="B13" s="31"/>
      <c r="C13" s="36" t="s">
        <v>66</v>
      </c>
      <c r="D13" s="32"/>
      <c r="E13" s="33"/>
      <c r="F13" s="33"/>
      <c r="G13" s="34"/>
      <c r="H13" s="34"/>
      <c r="I13" s="34"/>
      <c r="J13" s="34"/>
      <c r="K13" s="34"/>
      <c r="L13" s="34"/>
      <c r="M13" s="37">
        <f>M12/12/588</f>
        <v>1.8757833502627936</v>
      </c>
    </row>
    <row r="14" spans="2:13" ht="12.75">
      <c r="B14" s="31"/>
      <c r="C14" s="36" t="s">
        <v>68</v>
      </c>
      <c r="D14" s="32"/>
      <c r="E14" s="33"/>
      <c r="F14" s="33"/>
      <c r="G14" s="34"/>
      <c r="H14" s="34"/>
      <c r="I14" s="34"/>
      <c r="J14" s="34"/>
      <c r="K14" s="34"/>
      <c r="L14" s="34"/>
      <c r="M14" s="37">
        <f>M13*1.18</f>
        <v>2.2134243533100966</v>
      </c>
    </row>
    <row r="15" spans="2:13" ht="36">
      <c r="B15" s="5">
        <v>8</v>
      </c>
      <c r="C15" s="6" t="s">
        <v>26</v>
      </c>
      <c r="D15" s="6" t="s">
        <v>27</v>
      </c>
      <c r="E15" s="7">
        <v>0.2</v>
      </c>
      <c r="F15" s="7">
        <v>1</v>
      </c>
      <c r="G15" s="8">
        <f>3368.4*E15*F15</f>
        <v>673.6800000000001</v>
      </c>
      <c r="H15" s="8">
        <f>25706.40885988*E15*F15</f>
        <v>5141.2817719760005</v>
      </c>
      <c r="I15" s="8">
        <f t="shared" si="2"/>
        <v>0</v>
      </c>
      <c r="J15" s="8">
        <f>1690.9368*E15*F15</f>
        <v>338.18736</v>
      </c>
      <c r="K15" s="8">
        <f>1076.8010980958*E15*F15</f>
        <v>215.36021961916</v>
      </c>
      <c r="L15" s="8">
        <f t="shared" si="0"/>
        <v>0</v>
      </c>
      <c r="M15" s="9">
        <f t="shared" si="1"/>
        <v>6368.50935159516</v>
      </c>
    </row>
    <row r="16" spans="2:13" ht="36">
      <c r="B16" s="5">
        <v>9</v>
      </c>
      <c r="C16" s="6" t="s">
        <v>28</v>
      </c>
      <c r="D16" s="6" t="s">
        <v>27</v>
      </c>
      <c r="E16" s="7">
        <v>0.02</v>
      </c>
      <c r="F16" s="7">
        <v>1</v>
      </c>
      <c r="G16" s="8">
        <f>21221.6475*E16*F16</f>
        <v>424.43295</v>
      </c>
      <c r="H16" s="8">
        <f>139677.23914704*E16*F16</f>
        <v>2793.5447829408</v>
      </c>
      <c r="I16" s="8">
        <f t="shared" si="2"/>
        <v>0</v>
      </c>
      <c r="J16" s="8">
        <f>10653.267045*E16*F16</f>
        <v>213.06534090000002</v>
      </c>
      <c r="K16" s="8">
        <f>6004.3253792214*E16*F16</f>
        <v>120.086507584428</v>
      </c>
      <c r="L16" s="8">
        <f t="shared" si="0"/>
        <v>0</v>
      </c>
      <c r="M16" s="9">
        <f t="shared" si="1"/>
        <v>3551.129581425228</v>
      </c>
    </row>
    <row r="17" spans="2:13" ht="12">
      <c r="B17" s="5">
        <v>10</v>
      </c>
      <c r="C17" s="6" t="s">
        <v>29</v>
      </c>
      <c r="D17" s="6" t="s">
        <v>30</v>
      </c>
      <c r="E17" s="7">
        <v>0.02</v>
      </c>
      <c r="F17" s="7">
        <v>1</v>
      </c>
      <c r="G17" s="8">
        <f>17108*E17*F17</f>
        <v>342.16</v>
      </c>
      <c r="H17" s="8">
        <f>29909.1510522*E17*F17</f>
        <v>598.183021044</v>
      </c>
      <c r="I17" s="8">
        <f t="shared" si="2"/>
        <v>0</v>
      </c>
      <c r="J17" s="8">
        <f>8588.216*E17*F17</f>
        <v>171.76432</v>
      </c>
      <c r="K17" s="8">
        <f>1946.187846827*E17*F17</f>
        <v>38.92375693654</v>
      </c>
      <c r="L17" s="8">
        <f t="shared" si="0"/>
        <v>0</v>
      </c>
      <c r="M17" s="9">
        <f t="shared" si="1"/>
        <v>1151.0310979805402</v>
      </c>
    </row>
    <row r="18" spans="2:13" ht="12">
      <c r="B18" s="5">
        <v>11</v>
      </c>
      <c r="C18" s="6" t="s">
        <v>31</v>
      </c>
      <c r="D18" s="6" t="s">
        <v>32</v>
      </c>
      <c r="E18" s="7">
        <v>0.5</v>
      </c>
      <c r="F18" s="7">
        <v>1</v>
      </c>
      <c r="G18" s="8">
        <f>116.4383*E18*F18</f>
        <v>58.21915</v>
      </c>
      <c r="H18" s="8">
        <f>19.032293322*E18*F18</f>
        <v>9.516146661</v>
      </c>
      <c r="I18" s="8">
        <f t="shared" si="2"/>
        <v>0</v>
      </c>
      <c r="J18" s="8">
        <f>58.4520266*E18*F18</f>
        <v>29.2260133</v>
      </c>
      <c r="K18" s="8">
        <f>6.78729169727*E18*F18</f>
        <v>3.393645848635</v>
      </c>
      <c r="L18" s="8">
        <f t="shared" si="0"/>
        <v>0</v>
      </c>
      <c r="M18" s="9">
        <f t="shared" si="1"/>
        <v>100.35495580963502</v>
      </c>
    </row>
    <row r="19" spans="2:13" ht="24">
      <c r="B19" s="5">
        <v>12</v>
      </c>
      <c r="C19" s="6" t="s">
        <v>33</v>
      </c>
      <c r="D19" s="6" t="s">
        <v>34</v>
      </c>
      <c r="E19" s="7">
        <v>1</v>
      </c>
      <c r="F19" s="7">
        <v>1</v>
      </c>
      <c r="G19" s="8">
        <f>13.6864*E19*F19</f>
        <v>13.6864</v>
      </c>
      <c r="H19" s="8">
        <f>23.0265*E19*F19</f>
        <v>23.0265</v>
      </c>
      <c r="I19" s="8">
        <f t="shared" si="2"/>
        <v>0</v>
      </c>
      <c r="J19" s="8">
        <f>6.8705728*E19*F19</f>
        <v>6.8705728</v>
      </c>
      <c r="K19" s="8">
        <f>1.525421548*E19*F19</f>
        <v>1.525421548</v>
      </c>
      <c r="L19" s="8">
        <f t="shared" si="0"/>
        <v>0</v>
      </c>
      <c r="M19" s="9">
        <f t="shared" si="1"/>
        <v>45.10889434799999</v>
      </c>
    </row>
    <row r="20" spans="2:13" ht="12">
      <c r="B20" s="5">
        <v>13</v>
      </c>
      <c r="C20" s="6" t="s">
        <v>35</v>
      </c>
      <c r="D20" s="6" t="s">
        <v>36</v>
      </c>
      <c r="E20" s="7">
        <v>1</v>
      </c>
      <c r="F20" s="7">
        <v>1</v>
      </c>
      <c r="G20" s="8">
        <f>8.1263*E20*F20</f>
        <v>8.1263</v>
      </c>
      <c r="H20" s="8">
        <f>157.9487*E20*F20</f>
        <v>157.9487</v>
      </c>
      <c r="I20" s="8">
        <f t="shared" si="2"/>
        <v>0</v>
      </c>
      <c r="J20" s="8">
        <f>4.0794026*E20*F20</f>
        <v>4.0794026</v>
      </c>
      <c r="K20" s="8">
        <f>5.955404091*E20*F20</f>
        <v>5.955404091</v>
      </c>
      <c r="L20" s="8">
        <f t="shared" si="0"/>
        <v>0</v>
      </c>
      <c r="M20" s="9">
        <f t="shared" si="1"/>
        <v>176.109806691</v>
      </c>
    </row>
    <row r="21" spans="2:13" ht="60">
      <c r="B21" s="5">
        <v>14</v>
      </c>
      <c r="C21" s="6" t="s">
        <v>37</v>
      </c>
      <c r="D21" s="6" t="s">
        <v>38</v>
      </c>
      <c r="E21" s="7">
        <v>0.37</v>
      </c>
      <c r="F21" s="7">
        <v>4</v>
      </c>
      <c r="G21" s="8">
        <f>819.9014*E21*F21</f>
        <v>1213.454072</v>
      </c>
      <c r="H21" s="8">
        <f>0*E21*F21</f>
        <v>0</v>
      </c>
      <c r="I21" s="8">
        <f t="shared" si="2"/>
        <v>0</v>
      </c>
      <c r="J21" s="8">
        <f>411.5905028*E21*F21</f>
        <v>609.153944144</v>
      </c>
      <c r="K21" s="8">
        <f>43.102216598*E21*F21</f>
        <v>63.79128056504</v>
      </c>
      <c r="L21" s="8">
        <f t="shared" si="0"/>
        <v>0</v>
      </c>
      <c r="M21" s="9">
        <f t="shared" si="1"/>
        <v>1886.39929670904</v>
      </c>
    </row>
    <row r="22" spans="2:13" ht="12.75">
      <c r="B22" s="5"/>
      <c r="C22" s="13" t="s">
        <v>65</v>
      </c>
      <c r="D22" s="6"/>
      <c r="E22" s="7"/>
      <c r="F22" s="7"/>
      <c r="G22" s="8"/>
      <c r="H22" s="8"/>
      <c r="I22" s="8"/>
      <c r="J22" s="8"/>
      <c r="K22" s="8"/>
      <c r="L22" s="8"/>
      <c r="M22" s="14">
        <f>SUM(M15:M21)</f>
        <v>13278.642984558604</v>
      </c>
    </row>
    <row r="23" spans="2:13" ht="12.75">
      <c r="B23" s="5"/>
      <c r="C23" s="13" t="s">
        <v>66</v>
      </c>
      <c r="D23" s="6"/>
      <c r="E23" s="7"/>
      <c r="F23" s="7"/>
      <c r="G23" s="8"/>
      <c r="H23" s="8"/>
      <c r="I23" s="8"/>
      <c r="J23" s="8"/>
      <c r="K23" s="8"/>
      <c r="L23" s="8"/>
      <c r="M23" s="14">
        <f>M22/12/588</f>
        <v>1.881893847017943</v>
      </c>
    </row>
    <row r="24" spans="2:13" ht="12.75">
      <c r="B24" s="5"/>
      <c r="C24" s="13" t="s">
        <v>68</v>
      </c>
      <c r="D24" s="6"/>
      <c r="E24" s="7"/>
      <c r="F24" s="7"/>
      <c r="G24" s="8"/>
      <c r="H24" s="8"/>
      <c r="I24" s="8"/>
      <c r="J24" s="8"/>
      <c r="K24" s="8"/>
      <c r="L24" s="8"/>
      <c r="M24" s="14">
        <f>M23*1.18</f>
        <v>2.2206347394811727</v>
      </c>
    </row>
    <row r="25" spans="2:13" ht="36">
      <c r="B25" s="5">
        <v>15</v>
      </c>
      <c r="C25" s="6" t="s">
        <v>39</v>
      </c>
      <c r="D25" s="6" t="s">
        <v>40</v>
      </c>
      <c r="E25" s="7">
        <v>0.95</v>
      </c>
      <c r="F25" s="7">
        <v>96</v>
      </c>
      <c r="G25" s="8">
        <f>58.3214998023*E25*F25</f>
        <v>5318.92078196976</v>
      </c>
      <c r="H25" s="8">
        <f>0.534702669101*E25*F25</f>
        <v>48.76488342201119</v>
      </c>
      <c r="I25" s="8">
        <f t="shared" si="2"/>
        <v>0</v>
      </c>
      <c r="J25" s="8">
        <f>29.277392900755*E25*F25</f>
        <v>2670.098232548856</v>
      </c>
      <c r="K25" s="8">
        <f>3.0846758380254*E25*F25</f>
        <v>281.3224364279165</v>
      </c>
      <c r="L25" s="8">
        <f t="shared" si="0"/>
        <v>0</v>
      </c>
      <c r="M25" s="9">
        <f t="shared" si="1"/>
        <v>8319.106334368544</v>
      </c>
    </row>
    <row r="26" spans="2:13" ht="24">
      <c r="B26" s="5">
        <v>16</v>
      </c>
      <c r="C26" s="6" t="s">
        <v>41</v>
      </c>
      <c r="D26" s="6" t="s">
        <v>40</v>
      </c>
      <c r="E26" s="7">
        <v>0.95</v>
      </c>
      <c r="F26" s="7">
        <v>12</v>
      </c>
      <c r="G26" s="8">
        <f>133.4475*E26*F26</f>
        <v>1521.3014999999998</v>
      </c>
      <c r="H26" s="8">
        <f>48.389332454804*E26*F26</f>
        <v>551.6383899847656</v>
      </c>
      <c r="I26" s="8">
        <f t="shared" si="2"/>
        <v>0</v>
      </c>
      <c r="J26" s="8">
        <f>66.990645*E26*F26</f>
        <v>763.693353</v>
      </c>
      <c r="K26" s="8">
        <f>8.7089617109181*E26*F26</f>
        <v>99.28216350446633</v>
      </c>
      <c r="L26" s="8">
        <f t="shared" si="0"/>
        <v>0</v>
      </c>
      <c r="M26" s="9">
        <f t="shared" si="1"/>
        <v>2935.915406489232</v>
      </c>
    </row>
    <row r="27" spans="2:13" ht="12.75">
      <c r="B27" s="5"/>
      <c r="C27" s="13" t="s">
        <v>65</v>
      </c>
      <c r="D27" s="6"/>
      <c r="E27" s="7"/>
      <c r="F27" s="7"/>
      <c r="G27" s="8"/>
      <c r="H27" s="8"/>
      <c r="I27" s="8"/>
      <c r="J27" s="8"/>
      <c r="K27" s="8"/>
      <c r="L27" s="8"/>
      <c r="M27" s="14">
        <f>M25+M26</f>
        <v>11255.021740857776</v>
      </c>
    </row>
    <row r="28" spans="2:13" ht="12.75">
      <c r="B28" s="5"/>
      <c r="C28" s="13" t="s">
        <v>66</v>
      </c>
      <c r="D28" s="6"/>
      <c r="E28" s="7"/>
      <c r="F28" s="7"/>
      <c r="G28" s="8"/>
      <c r="H28" s="8"/>
      <c r="I28" s="8"/>
      <c r="J28" s="8"/>
      <c r="K28" s="8"/>
      <c r="L28" s="8"/>
      <c r="M28" s="14">
        <f>M27/12/588</f>
        <v>1.5950994530694127</v>
      </c>
    </row>
    <row r="29" spans="2:13" ht="12.75">
      <c r="B29" s="5"/>
      <c r="C29" s="13" t="s">
        <v>68</v>
      </c>
      <c r="D29" s="6"/>
      <c r="E29" s="7"/>
      <c r="F29" s="7"/>
      <c r="G29" s="8"/>
      <c r="H29" s="8"/>
      <c r="I29" s="8"/>
      <c r="J29" s="8"/>
      <c r="K29" s="8"/>
      <c r="L29" s="8"/>
      <c r="M29" s="14">
        <f>M28*1.18</f>
        <v>1.882217354621907</v>
      </c>
    </row>
    <row r="30" spans="2:13" ht="24">
      <c r="B30" s="5">
        <v>17</v>
      </c>
      <c r="C30" s="6" t="s">
        <v>69</v>
      </c>
      <c r="D30" s="6" t="s">
        <v>42</v>
      </c>
      <c r="E30" s="7">
        <v>0.15</v>
      </c>
      <c r="F30" s="7">
        <v>96</v>
      </c>
      <c r="G30" s="8">
        <f>78.8823*E30*F30</f>
        <v>1135.90512</v>
      </c>
      <c r="H30" s="8">
        <f>1.6336*E30*F30</f>
        <v>23.52384</v>
      </c>
      <c r="I30" s="8">
        <f t="shared" si="2"/>
        <v>0</v>
      </c>
      <c r="J30" s="8">
        <f>39.5989146*E30*F30</f>
        <v>570.22437024</v>
      </c>
      <c r="K30" s="8">
        <f>4.204018511*E30*F30</f>
        <v>60.5378665584</v>
      </c>
      <c r="L30" s="8">
        <f t="shared" si="0"/>
        <v>0</v>
      </c>
      <c r="M30" s="9">
        <f t="shared" si="1"/>
        <v>1790.1911967984</v>
      </c>
    </row>
    <row r="31" spans="2:13" ht="24">
      <c r="B31" s="5">
        <v>18</v>
      </c>
      <c r="C31" s="6" t="s">
        <v>70</v>
      </c>
      <c r="D31" s="6" t="s">
        <v>42</v>
      </c>
      <c r="E31" s="7">
        <v>0.2</v>
      </c>
      <c r="F31" s="7">
        <v>36</v>
      </c>
      <c r="G31" s="8">
        <f>128.7027*E31*F31</f>
        <v>926.65944</v>
      </c>
      <c r="H31" s="8">
        <f>2.8504*E31*F31</f>
        <v>20.52288</v>
      </c>
      <c r="I31" s="8">
        <f t="shared" si="2"/>
        <v>0</v>
      </c>
      <c r="J31" s="8">
        <f>64.6087554*E31*F31</f>
        <v>465.1830388800001</v>
      </c>
      <c r="K31" s="8">
        <f>6.865664939*E31*F31</f>
        <v>49.4327875608</v>
      </c>
      <c r="L31" s="8">
        <f t="shared" si="0"/>
        <v>0</v>
      </c>
      <c r="M31" s="9">
        <f t="shared" si="1"/>
        <v>1461.7981464408</v>
      </c>
    </row>
    <row r="32" spans="2:13" ht="12">
      <c r="B32" s="5">
        <v>19</v>
      </c>
      <c r="C32" s="6" t="s">
        <v>43</v>
      </c>
      <c r="D32" s="6" t="s">
        <v>44</v>
      </c>
      <c r="E32" s="7">
        <v>0.002</v>
      </c>
      <c r="F32" s="7">
        <v>36</v>
      </c>
      <c r="G32" s="8">
        <f>7611.2523*E32*F32</f>
        <v>548.0101656</v>
      </c>
      <c r="H32" s="8">
        <f>96*E32*F32</f>
        <v>6.912</v>
      </c>
      <c r="I32" s="8">
        <f t="shared" si="2"/>
        <v>0</v>
      </c>
      <c r="J32" s="8">
        <f>3820.8486546*E32*F32</f>
        <v>275.1011031312</v>
      </c>
      <c r="K32" s="8">
        <f>403.483533411*E32*F32</f>
        <v>29.050814405592</v>
      </c>
      <c r="L32" s="8">
        <f t="shared" si="0"/>
        <v>0</v>
      </c>
      <c r="M32" s="9">
        <f t="shared" si="1"/>
        <v>859.074083136792</v>
      </c>
    </row>
    <row r="33" spans="2:13" ht="12">
      <c r="B33" s="5">
        <v>20</v>
      </c>
      <c r="C33" s="6" t="s">
        <v>45</v>
      </c>
      <c r="D33" s="6" t="s">
        <v>46</v>
      </c>
      <c r="E33" s="7">
        <v>1.26</v>
      </c>
      <c r="F33" s="7">
        <v>2</v>
      </c>
      <c r="G33" s="8">
        <f>58.1238*E33*F33</f>
        <v>146.471976</v>
      </c>
      <c r="H33" s="8">
        <f>74.62244896*E33*F33</f>
        <v>188.0485713792</v>
      </c>
      <c r="I33" s="8">
        <f>65.2428*E33*F33</f>
        <v>164.411856</v>
      </c>
      <c r="J33" s="8">
        <f>29.1781476*E33*F33</f>
        <v>73.528931952</v>
      </c>
      <c r="K33" s="8">
        <f>7.9508518796*E33*F33</f>
        <v>20.036146736592</v>
      </c>
      <c r="L33" s="8">
        <f t="shared" si="0"/>
        <v>0</v>
      </c>
      <c r="M33" s="9">
        <f t="shared" si="1"/>
        <v>592.4974820677919</v>
      </c>
    </row>
    <row r="34" spans="2:13" ht="36">
      <c r="B34" s="5">
        <v>21</v>
      </c>
      <c r="C34" s="6" t="s">
        <v>47</v>
      </c>
      <c r="D34" s="6" t="s">
        <v>48</v>
      </c>
      <c r="E34" s="7">
        <v>0.025</v>
      </c>
      <c r="F34" s="7">
        <v>5</v>
      </c>
      <c r="G34" s="8">
        <f>1383.7023*E34*F34</f>
        <v>172.9627875</v>
      </c>
      <c r="H34" s="8">
        <f>23.1966*E34*F34</f>
        <v>2.8995750000000005</v>
      </c>
      <c r="I34" s="8">
        <f>0*E34*F34</f>
        <v>0</v>
      </c>
      <c r="J34" s="8">
        <f>694.6185546*E34*F34</f>
        <v>86.82731932500002</v>
      </c>
      <c r="K34" s="8">
        <f>73.553110911*E34*F34</f>
        <v>9.194138863875</v>
      </c>
      <c r="L34" s="8">
        <f t="shared" si="0"/>
        <v>0</v>
      </c>
      <c r="M34" s="9">
        <f t="shared" si="1"/>
        <v>271.883820688875</v>
      </c>
    </row>
    <row r="35" spans="2:13" ht="12">
      <c r="B35" s="5">
        <v>22</v>
      </c>
      <c r="C35" s="6" t="s">
        <v>49</v>
      </c>
      <c r="D35" s="6" t="s">
        <v>50</v>
      </c>
      <c r="E35" s="7">
        <v>0.4</v>
      </c>
      <c r="F35" s="7">
        <v>5</v>
      </c>
      <c r="G35" s="8">
        <f>12.81096*E35*F35</f>
        <v>25.62192</v>
      </c>
      <c r="H35" s="8">
        <f>192.3915*E35*F35</f>
        <v>384.783</v>
      </c>
      <c r="I35" s="8">
        <f>0*E35*F35</f>
        <v>0</v>
      </c>
      <c r="J35" s="8">
        <f>6.43110192*E35*F35</f>
        <v>12.86220384</v>
      </c>
      <c r="K35" s="8">
        <f>7.4071746672*E35*F35</f>
        <v>14.814349334400001</v>
      </c>
      <c r="L35" s="8">
        <f t="shared" si="0"/>
        <v>0</v>
      </c>
      <c r="M35" s="9">
        <f t="shared" si="1"/>
        <v>438.0814731744</v>
      </c>
    </row>
    <row r="36" spans="2:13" ht="24">
      <c r="B36" s="5">
        <v>23</v>
      </c>
      <c r="C36" s="6" t="s">
        <v>51</v>
      </c>
      <c r="D36" s="6" t="s">
        <v>52</v>
      </c>
      <c r="E36" s="7">
        <v>0.3</v>
      </c>
      <c r="F36" s="7">
        <v>5</v>
      </c>
      <c r="G36" s="8">
        <f>81.8478*E36*F36</f>
        <v>122.7717</v>
      </c>
      <c r="H36" s="8">
        <f>0.231966*E36*F36</f>
        <v>0.34794899999999995</v>
      </c>
      <c r="I36" s="8">
        <f>0*E36*F36</f>
        <v>0</v>
      </c>
      <c r="J36" s="8">
        <f>41.0875956*E36*F36</f>
        <v>61.6313934</v>
      </c>
      <c r="K36" s="8">
        <f>4.310857656*E36*F36</f>
        <v>6.466286483999999</v>
      </c>
      <c r="L36" s="8">
        <f t="shared" si="0"/>
        <v>0</v>
      </c>
      <c r="M36" s="9">
        <f t="shared" si="1"/>
        <v>191.21732888399998</v>
      </c>
    </row>
    <row r="37" spans="2:13" ht="24">
      <c r="B37" s="5">
        <v>24</v>
      </c>
      <c r="C37" s="6" t="s">
        <v>53</v>
      </c>
      <c r="D37" s="6" t="s">
        <v>52</v>
      </c>
      <c r="E37" s="7">
        <v>0.3</v>
      </c>
      <c r="F37" s="7">
        <v>96</v>
      </c>
      <c r="G37" s="8">
        <f>15.12405*E37*F37</f>
        <v>435.57264</v>
      </c>
      <c r="H37" s="8">
        <f>0.16336*E37*F37</f>
        <v>4.7047680000000005</v>
      </c>
      <c r="I37" s="8">
        <f>0*E37*F37</f>
        <v>0</v>
      </c>
      <c r="J37" s="8">
        <f>7.5922731*E37*F37</f>
        <v>218.65746528</v>
      </c>
      <c r="K37" s="8">
        <f>0.8007889085*E37*F37</f>
        <v>23.062720564799996</v>
      </c>
      <c r="L37" s="8">
        <f t="shared" si="0"/>
        <v>0</v>
      </c>
      <c r="M37" s="9">
        <f t="shared" si="1"/>
        <v>681.9975938447999</v>
      </c>
    </row>
    <row r="38" spans="2:13" ht="12">
      <c r="B38" s="15">
        <v>25</v>
      </c>
      <c r="C38" s="16" t="s">
        <v>54</v>
      </c>
      <c r="D38" s="16" t="s">
        <v>46</v>
      </c>
      <c r="E38" s="17">
        <v>0.1</v>
      </c>
      <c r="F38" s="17">
        <v>96</v>
      </c>
      <c r="G38" s="18">
        <f>144.1233*E38*F38</f>
        <v>1383.5836800000002</v>
      </c>
      <c r="H38" s="18">
        <f>1.6*E38*F38</f>
        <v>15.360000000000003</v>
      </c>
      <c r="I38" s="18">
        <f>0*E38*F38</f>
        <v>0</v>
      </c>
      <c r="J38" s="18">
        <f>72.3498966*E38*F38</f>
        <v>694.55900736</v>
      </c>
      <c r="K38" s="18">
        <f>7.632561881*E38*F38</f>
        <v>73.2725940576</v>
      </c>
      <c r="L38" s="18">
        <f t="shared" si="0"/>
        <v>0</v>
      </c>
      <c r="M38" s="19">
        <f t="shared" si="1"/>
        <v>2166.7752814176</v>
      </c>
    </row>
    <row r="39" spans="2:13" ht="12.75">
      <c r="B39" s="20"/>
      <c r="C39" s="21" t="s">
        <v>65</v>
      </c>
      <c r="D39" s="22"/>
      <c r="E39" s="23"/>
      <c r="F39" s="23"/>
      <c r="G39" s="24"/>
      <c r="H39" s="24"/>
      <c r="I39" s="24"/>
      <c r="J39" s="24"/>
      <c r="K39" s="24"/>
      <c r="L39" s="24"/>
      <c r="M39" s="25">
        <f>SUM(M30:M38)</f>
        <v>8453.516406453458</v>
      </c>
    </row>
    <row r="40" spans="2:13" ht="12.75">
      <c r="B40" s="20"/>
      <c r="C40" s="21" t="s">
        <v>66</v>
      </c>
      <c r="D40" s="22"/>
      <c r="E40" s="23"/>
      <c r="F40" s="23"/>
      <c r="G40" s="24"/>
      <c r="H40" s="24"/>
      <c r="I40" s="24"/>
      <c r="J40" s="24"/>
      <c r="K40" s="24"/>
      <c r="L40" s="24"/>
      <c r="M40" s="25">
        <f>M39/12/588</f>
        <v>1.19806071520032</v>
      </c>
    </row>
    <row r="41" spans="2:13" ht="12.75">
      <c r="B41" s="20"/>
      <c r="C41" s="21" t="s">
        <v>68</v>
      </c>
      <c r="D41" s="22"/>
      <c r="E41" s="23"/>
      <c r="F41" s="23"/>
      <c r="G41" s="24"/>
      <c r="H41" s="24"/>
      <c r="I41" s="24"/>
      <c r="J41" s="24"/>
      <c r="K41" s="24"/>
      <c r="L41" s="24"/>
      <c r="M41" s="25">
        <f>M40*1.18</f>
        <v>1.4137116439363775</v>
      </c>
    </row>
    <row r="42" spans="2:13" ht="12">
      <c r="B42" s="44" t="s">
        <v>55</v>
      </c>
      <c r="C42" s="45"/>
      <c r="D42" s="45"/>
      <c r="E42" s="45"/>
      <c r="F42" s="45"/>
      <c r="G42" s="26">
        <f aca="true" t="shared" si="3" ref="G42:L42">SUM(G5:G38)</f>
        <v>17454.16507806976</v>
      </c>
      <c r="H42" s="26">
        <f t="shared" si="3"/>
        <v>18248.46548623978</v>
      </c>
      <c r="I42" s="26">
        <f t="shared" si="3"/>
        <v>195.0002586</v>
      </c>
      <c r="J42" s="26">
        <f t="shared" si="3"/>
        <v>8761.990869191055</v>
      </c>
      <c r="K42" s="26">
        <f t="shared" si="3"/>
        <v>1563.0867592235159</v>
      </c>
      <c r="L42" s="26">
        <f t="shared" si="3"/>
        <v>0</v>
      </c>
      <c r="M42" s="27">
        <f>M12+M22+M27+M39</f>
        <v>46222.70845132411</v>
      </c>
    </row>
    <row r="43" spans="2:13" ht="12.75">
      <c r="B43" s="28"/>
      <c r="C43" s="21" t="s">
        <v>66</v>
      </c>
      <c r="D43" s="28"/>
      <c r="E43" s="28"/>
      <c r="F43" s="28"/>
      <c r="G43" s="28"/>
      <c r="H43" s="28"/>
      <c r="I43" s="28"/>
      <c r="J43" s="28"/>
      <c r="K43" s="28"/>
      <c r="L43" s="28"/>
      <c r="M43" s="30">
        <f>M42/12/588</f>
        <v>6.5508373655504695</v>
      </c>
    </row>
    <row r="44" spans="2:13" ht="12.75">
      <c r="B44" s="28"/>
      <c r="C44" s="21" t="s">
        <v>68</v>
      </c>
      <c r="D44" s="28"/>
      <c r="E44" s="28"/>
      <c r="F44" s="28"/>
      <c r="G44" s="28"/>
      <c r="H44" s="28"/>
      <c r="I44" s="28"/>
      <c r="J44" s="28"/>
      <c r="K44" s="28"/>
      <c r="L44" s="28"/>
      <c r="M44" s="30">
        <f>M43*1.18</f>
        <v>7.729988091349553</v>
      </c>
    </row>
    <row r="46" spans="4:11" ht="19.5">
      <c r="D46" s="46" t="s">
        <v>56</v>
      </c>
      <c r="E46" s="46"/>
      <c r="F46" s="46"/>
      <c r="G46" s="46"/>
      <c r="H46" s="46"/>
      <c r="I46" s="46"/>
      <c r="J46" s="46"/>
      <c r="K46" s="46"/>
    </row>
    <row r="47" spans="4:11" ht="15.75">
      <c r="D47" s="12" t="s">
        <v>57</v>
      </c>
      <c r="E47" s="47">
        <f>G42</f>
        <v>17454.16507806976</v>
      </c>
      <c r="F47" s="47"/>
      <c r="G47" s="11"/>
      <c r="H47" s="11"/>
      <c r="I47" s="12" t="s">
        <v>58</v>
      </c>
      <c r="J47" s="47">
        <f>J42</f>
        <v>8761.990869191055</v>
      </c>
      <c r="K47" s="47"/>
    </row>
    <row r="48" spans="4:11" ht="15.75">
      <c r="D48" s="12" t="s">
        <v>59</v>
      </c>
      <c r="E48" s="47">
        <f>H42</f>
        <v>18248.46548623978</v>
      </c>
      <c r="F48" s="47"/>
      <c r="G48" s="11"/>
      <c r="H48" s="11"/>
      <c r="I48" s="12" t="s">
        <v>60</v>
      </c>
      <c r="J48" s="47">
        <f>K42</f>
        <v>1563.0867592235159</v>
      </c>
      <c r="K48" s="47"/>
    </row>
    <row r="49" spans="4:11" ht="15.75">
      <c r="D49" s="12" t="s">
        <v>61</v>
      </c>
      <c r="E49" s="47">
        <f>I42</f>
        <v>195.0002586</v>
      </c>
      <c r="F49" s="47"/>
      <c r="G49" s="11"/>
      <c r="H49" s="11"/>
      <c r="I49" s="12" t="s">
        <v>62</v>
      </c>
      <c r="J49" s="47">
        <f>L42</f>
        <v>0</v>
      </c>
      <c r="K49" s="47"/>
    </row>
    <row r="50" spans="4:11" ht="15.75">
      <c r="D50" s="12"/>
      <c r="E50" s="11"/>
      <c r="F50" s="11"/>
      <c r="G50" s="11"/>
      <c r="H50" s="11"/>
      <c r="I50" s="12" t="s">
        <v>63</v>
      </c>
      <c r="J50" s="47">
        <f>M42</f>
        <v>46222.70845132411</v>
      </c>
      <c r="K50" s="47"/>
    </row>
    <row r="51" spans="9:11" ht="15">
      <c r="I51" s="12" t="s">
        <v>67</v>
      </c>
      <c r="K51" s="29">
        <f>J50*1.18</f>
        <v>54542.79597256245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E49:F49"/>
    <mergeCell ref="J49:K49"/>
    <mergeCell ref="J50:K50"/>
    <mergeCell ref="E47:F47"/>
    <mergeCell ref="J47:K47"/>
    <mergeCell ref="E48:F48"/>
    <mergeCell ref="J48:K48"/>
    <mergeCell ref="B1:M1"/>
    <mergeCell ref="B4:M4"/>
    <mergeCell ref="B42:F42"/>
    <mergeCell ref="D46:K46"/>
  </mergeCells>
  <printOptions/>
  <pageMargins left="0.35" right="0.35" top="0.35" bottom="0.35" header="0.3" footer="0.3"/>
  <pageSetup fitToHeight="0" fitToWidth="1" horizontalDpi="600" verticalDpi="600" orientation="landscape" paperSize="9" scale="8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РЎРјРµС‚Р° СЂР°СЃС…РѕРґРѕРІ</dc:title>
  <dc:subject>РЎРјРµС‚Р° СЂР°СЃС…РѕРґРѕРІ</dc:subject>
  <dc:creator>РњРљР”-СЂР°СЃС‡РµС‚. Р¦РµРЅС‚СЂ РјСѓРЅРёС†РёРїР°Р»СЊРЅРѕР№ СЌРєРѕРЅРѕРјРёРєРё Рё РїСЂР°РІР°</dc:creator>
  <cp:keywords>СЃРјРµС‚Р° СЂР°СЃС‡РµС‚ Р¶РєС…</cp:keywords>
  <dc:description>РЎРјРµС‚Р° СЂР°СЃС…РѕРґРѕРІ РІРєР»СЋС‡Р°РµС‚ РїРµСЂРµС‡РµРЅСЊ СЂР°Р±РѕС‚ Рё РїРµСЂРµС‡РµРЅСЊ СЂРµСЃСѓСЂСЃРѕРІ</dc:description>
  <cp:lastModifiedBy>Customer</cp:lastModifiedBy>
  <cp:lastPrinted>2015-07-01T13:25:13Z</cp:lastPrinted>
  <dcterms:created xsi:type="dcterms:W3CDTF">2015-05-21T09:12:34Z</dcterms:created>
  <dcterms:modified xsi:type="dcterms:W3CDTF">2015-07-23T11:43:33Z</dcterms:modified>
  <cp:category>Test result file</cp:category>
  <cp:version/>
  <cp:contentType/>
  <cp:contentStatus/>
</cp:coreProperties>
</file>