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1" activeTab="12"/>
  </bookViews>
  <sheets>
    <sheet name="1 группа благоустройства" sheetId="1" r:id="rId1"/>
    <sheet name="Ресурсы" sheetId="2" r:id="rId2"/>
    <sheet name="2 группа благоустройства" sheetId="3" r:id="rId3"/>
    <sheet name=" 2 группа ресурсы" sheetId="4" r:id="rId4"/>
    <sheet name="3 группаа благоустройства" sheetId="5" r:id="rId5"/>
    <sheet name="3 группа благоустройства ресурс" sheetId="6" r:id="rId6"/>
    <sheet name="4 группа благоустройства" sheetId="7" r:id="rId7"/>
    <sheet name="4 группа благоустройства ресурс" sheetId="8" r:id="rId8"/>
    <sheet name="5 группа благоустройства" sheetId="9" r:id="rId9"/>
    <sheet name="5 группа благоустройства ресурс" sheetId="10" r:id="rId10"/>
    <sheet name=" 6 группа благоустройства" sheetId="11" r:id="rId11"/>
    <sheet name=" 6 группа благоустройства ресур" sheetId="12" r:id="rId12"/>
    <sheet name="Размер платы  с 1 по 6 группу" sheetId="13" r:id="rId13"/>
  </sheets>
  <definedNames>
    <definedName name="_xlnm.Print_Titles" localSheetId="0">'1 группа благоустройства'!$3:$3</definedName>
    <definedName name="_xlnm.Print_Titles" localSheetId="12">'Размер платы  с 1 по 6 группу'!$7:$8</definedName>
    <definedName name="_xlnm.Print_Titles" localSheetId="1">'Ресурсы'!$3:$3</definedName>
    <definedName name="_xlnm.Print_Area" localSheetId="12">'Размер платы  с 1 по 6 группу'!$A$1:$L$36</definedName>
  </definedNames>
  <calcPr fullCalcOnLoad="1"/>
</workbook>
</file>

<file path=xl/sharedStrings.xml><?xml version="1.0" encoding="utf-8"?>
<sst xmlns="http://schemas.openxmlformats.org/spreadsheetml/2006/main" count="2831" uniqueCount="404">
  <si>
    <t>Смета расходов. Список работ</t>
  </si>
  <si>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</si>
  <si>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</si>
  <si>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</si>
  <si>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</si>
  <si>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</si>
  <si>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</si>
  <si>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</si>
  <si>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</si>
  <si>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</si>
  <si>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</si>
  <si>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Управл. расходы, руб.</t>
  </si>
  <si>
    <t>Стоимость, руб.</t>
  </si>
  <si>
    <t>Текущий ремонт конструктивных элементов элементов</t>
  </si>
  <si>
    <t>Восстановление (ремонт) отмостки</t>
  </si>
  <si>
    <t>100 м2 отмостки</t>
  </si>
  <si>
    <t>Восстановление (ремонт) вводов инженерных коммуникаций   в подвальные  помещения  через  фундаменты</t>
  </si>
  <si>
    <t>100 шт.</t>
  </si>
  <si>
    <t>Ремонт обыкновенной штукатурки гладких каменных фасадов отдельными местами</t>
  </si>
  <si>
    <t>100 м2 отремонтированной поверхности</t>
  </si>
  <si>
    <t>Ремонт и восстановление герметизации горизонтальных и вертикальных стыков стеновых панелей мастикой  герметизирующей  нетвердеющей  или   силиконовыми   и   акриловыми   герметиками</t>
  </si>
  <si>
    <t>100 м восстановленной герметизации стыков</t>
  </si>
  <si>
    <t>Известковая окраска ранее окрашенных поверхностей стен</t>
  </si>
  <si>
    <t>100 м2 окрашенной поверхности</t>
  </si>
  <si>
    <t>Простая масляная окраска ранее окрашенных поверхностей</t>
  </si>
  <si>
    <t>Ремонт гидроизоляции козырьков</t>
  </si>
  <si>
    <t>100 кв.м.</t>
  </si>
  <si>
    <t>Постановка заплат на покрытия из мягкой кровли</t>
  </si>
  <si>
    <t>100 м2 заплаты</t>
  </si>
  <si>
    <t>Сети теплоснабжения</t>
  </si>
  <si>
    <t>Смена отдельных участков трубопроводов из стальных водогазопроводных неоцинкованных труб диаметром 20 мм</t>
  </si>
  <si>
    <t>100 м трубопровода</t>
  </si>
  <si>
    <t>Смена отдельных участков трубопроводов из стальных водогазопроводных неоцинкованных труб диаметром 32 мм</t>
  </si>
  <si>
    <t>Смена отдельных участков трубопроводов из стальных электросварных труб  диаметром 40 мм</t>
  </si>
  <si>
    <t>Смена отдельных участков трубопроводов из стальных электросварных труб   диаметром 50 мм</t>
  </si>
  <si>
    <t>Восстановление разрушенной тепловой изоляции минераловатными матами</t>
  </si>
  <si>
    <t>100 м2 восстановленного участка</t>
  </si>
  <si>
    <t>Ремонт элеваторного узла с выходным проходом 50 мм</t>
  </si>
  <si>
    <t>1 узел</t>
  </si>
  <si>
    <t>Смена параллельной задвижки,  диаметром до 100 мм</t>
  </si>
  <si>
    <t>100 задвижек</t>
  </si>
  <si>
    <t>Снятие, прочистка и установка параллельной задвижки диаметром  100 мм</t>
  </si>
  <si>
    <t>Смена вентиля диаметром до 25 мм</t>
  </si>
  <si>
    <t>100 вентилей</t>
  </si>
  <si>
    <t>Сети холодного и горячего водоснабжения</t>
  </si>
  <si>
    <t>Смена отдельных участков трубопроводов водоснабжения из стальных водогазопроводных оцинкованных труб диаметром  25 мм</t>
  </si>
  <si>
    <t>100 м трубопроводов</t>
  </si>
  <si>
    <t>Смена отдельных участков трубопроводов водоснабжения из стальных водогазопроводных оцинкованных труб диаметром 32 мм</t>
  </si>
  <si>
    <t>Смена отдельных участков трубопроводов водоснабжения из стальных водогазопроводных оцинкованных труб диаметром 40 мм</t>
  </si>
  <si>
    <t>Смена отдельных участков трубопроводов  водоснабжения из стальных водогазопроводных оцинкованных труб диаметром 50 мм</t>
  </si>
  <si>
    <t>Смена отдельных участков трубопроводов  водоснабжения из стальных водогазопроводных оцинкованных труб диаметром 80 мм</t>
  </si>
  <si>
    <t>Временная заделка свищей и трещин на внутренних трубопроводах и стояках при диаметре трубопровода до 50 мм</t>
  </si>
  <si>
    <t>100 мест</t>
  </si>
  <si>
    <t>Смена вентилей и клапанов обратных муфтовых диаметром до 32  мм</t>
  </si>
  <si>
    <t>Смена задвижек диаметром до 100 мм</t>
  </si>
  <si>
    <t>Сети водоотведения</t>
  </si>
  <si>
    <t>Смена горизонтальных участков трубопроводов канализации из полиэтиленовых труб высокой плотности диаметром 50 мм</t>
  </si>
  <si>
    <t>Смена горизонтальных участков трубопроводов канализации из полиэтиленовых труб высокой плотности диаметром 100 мм</t>
  </si>
  <si>
    <t>Сети электроснабжения</t>
  </si>
  <si>
    <t>Замена предохранителя</t>
  </si>
  <si>
    <t>1 предохранитель</t>
  </si>
  <si>
    <t>Ремонт, замена  внутридомовых электрических сетей</t>
  </si>
  <si>
    <t>1000 пог.м.</t>
  </si>
  <si>
    <t>Ремонт щитков</t>
  </si>
  <si>
    <t>1 щит</t>
  </si>
  <si>
    <t>Подготовка МКД к сезонной эксплуатации</t>
  </si>
  <si>
    <t>Смена стекол на штапиках без замазки</t>
  </si>
  <si>
    <t>100 м фальца</t>
  </si>
  <si>
    <t>Осмотр территории вокруг здания и фундамента</t>
  </si>
  <si>
    <t>1000 кв.м. общей площади</t>
  </si>
  <si>
    <t>Осмотр кирпичных и железобетонных стен, фасадов</t>
  </si>
  <si>
    <t>Осмотр всех элементов рулонных кровель, водостоков</t>
  </si>
  <si>
    <t>1000 кв.м. кровли</t>
  </si>
  <si>
    <t>Осмотр водопровода, канализации и горячего водоснабжения</t>
  </si>
  <si>
    <t>100 квартир</t>
  </si>
  <si>
    <t>Прочистка канализационного лежака</t>
  </si>
  <si>
    <t>100 м канализационного лежака</t>
  </si>
  <si>
    <t>Осмотр  электросети, арматуры, электрооборудования на лестничных клетках</t>
  </si>
  <si>
    <t>100 лестничных площадок</t>
  </si>
  <si>
    <t>Проверка заземления оболочки электрокабеля</t>
  </si>
  <si>
    <t>100 м</t>
  </si>
  <si>
    <t>Осмотр устройства системы центрального отопления в чердачных и подвальных помещениях</t>
  </si>
  <si>
    <t>1000 м2 осматриваемых помещений</t>
  </si>
  <si>
    <t>Регулировка и наладка систем отопления</t>
  </si>
  <si>
    <t>1 здание</t>
  </si>
  <si>
    <t>Рабочая проверка системы в целом</t>
  </si>
  <si>
    <t>Проверка на прогрев отопительных приборов с регулировкой</t>
  </si>
  <si>
    <t>Промывка трубопроводов системы центрального отопления</t>
  </si>
  <si>
    <t>10 м трубопровода</t>
  </si>
  <si>
    <t>Ликвидация воздушных пробок в стояке системы отопления</t>
  </si>
  <si>
    <t>100 стояков</t>
  </si>
  <si>
    <t>Теплосчетчик</t>
  </si>
  <si>
    <t>Ремонт прибора учета</t>
  </si>
  <si>
    <t>прибор</t>
  </si>
  <si>
    <t>Визуальный осмотр прибора учета воды диаметром 50-250 мм и проверка наличия и нарушения пломб</t>
  </si>
  <si>
    <t>1 прибор учета</t>
  </si>
  <si>
    <t>Составление акта (при нарушении правил эксплуатации прибора)</t>
  </si>
  <si>
    <t>Визуальный осмотр и проверка наличия и нарушения пломб</t>
  </si>
  <si>
    <t>1 узел учета</t>
  </si>
  <si>
    <t>1 фильтр</t>
  </si>
  <si>
    <t>Проверка работоспособности запорной арматуры и очистка фильтра</t>
  </si>
  <si>
    <t>Профилактические работы</t>
  </si>
  <si>
    <t>Поверка (настройка) тепловычислителя</t>
  </si>
  <si>
    <t>Обслуживание системы вентиляции (ДВК)</t>
  </si>
  <si>
    <t>Проведение технических осмотров и устранение незначительных неисправностей в системе вентиляции</t>
  </si>
  <si>
    <t>1000 м2  площади помещений</t>
  </si>
  <si>
    <t>Аварийное обслуживание</t>
  </si>
  <si>
    <t>Устранение аварии на внутридомовых инженерных сетях при сроке эксплуатации многоквартирного дома от 31 до 50 лет</t>
  </si>
  <si>
    <t>1000 м2  общей площади жилых помещений, оборудованных газовыми плитами</t>
  </si>
  <si>
    <t>Уборка мест общего пользования</t>
  </si>
  <si>
    <t>Подметание лестничных площадок и маршей нижних трех этажей с предварительным их увлажнением (в доме с лифтами без мусоропроводов)</t>
  </si>
  <si>
    <t xml:space="preserve">100 м2  мест общего пользования  </t>
  </si>
  <si>
    <t>Подметание лестничных площадок и маршей выше третьего этажа с предварительным их увлажнением  (в доме с лифтами без мусоропроводов)</t>
  </si>
  <si>
    <t>Мытье  лестничных площадок и маршей нижних трех этажей  (в доме с лифтами без мусоропроводов)</t>
  </si>
  <si>
    <t>Мытье  лестничных площадок и маршей  выше третьего этажа  (в доме с лифтами без мусоропроводов)</t>
  </si>
  <si>
    <t>Очистка чердаков  и подвалов от строительного мусора</t>
  </si>
  <si>
    <t>100 кг строительного мусора</t>
  </si>
  <si>
    <t>Уборка придомовой территории</t>
  </si>
  <si>
    <t>Подметание в летний период  земельного участка с усовершенствованным покрытием 1 класса</t>
  </si>
  <si>
    <t>1 000 кв.м. территории</t>
  </si>
  <si>
    <t>Подметание в летний период  земельного участка с усовершенствованным покрытием 2 класса</t>
  </si>
  <si>
    <t>Подметание в летний период  земельного участка с усовершенствованным покрытием 3 класса</t>
  </si>
  <si>
    <t>Подметание в летний период  земельного участка с неусовершенствованным покрытием 1 класса</t>
  </si>
  <si>
    <t>Подметание в летний период  земельного участка с неусовершенствованным покрытием 2 класса</t>
  </si>
  <si>
    <t>Уборка газонов от случайного мусора</t>
  </si>
  <si>
    <t>100 000 м2</t>
  </si>
  <si>
    <t>Стрижка газонов</t>
  </si>
  <si>
    <t>на 100 кв.м.</t>
  </si>
  <si>
    <t>Формовочная обрезка деревьев</t>
  </si>
  <si>
    <t>100 деревьев</t>
  </si>
  <si>
    <t>Сдвижка и подметание снега при отсутствии снегопада на придомовой территории с усовершенствованным покрытием 1 класса</t>
  </si>
  <si>
    <t>10 000 кв.м. территории</t>
  </si>
  <si>
    <t>Посыпка территории III класса</t>
  </si>
  <si>
    <t>100 кв. м</t>
  </si>
  <si>
    <t>Уборка мусора на  контейнерных  площадках</t>
  </si>
  <si>
    <t>Вывоз ТБО</t>
  </si>
  <si>
    <t>Содержание лифтов</t>
  </si>
  <si>
    <t>Содержание системы ВДГО</t>
  </si>
  <si>
    <t>Дератизация и дезинсекция</t>
  </si>
  <si>
    <t>ИТОГО:</t>
  </si>
  <si>
    <t>ИТОГО ПО СМЕТЕ</t>
  </si>
  <si>
    <t>Трудовые ресурсы, руб.:</t>
  </si>
  <si>
    <t>Накладные расходы, руб.:</t>
  </si>
  <si>
    <t>Материальные ресурсы, руб.:</t>
  </si>
  <si>
    <t>Прибыль, руб.:</t>
  </si>
  <si>
    <t>Машины/механизмы, руб.:</t>
  </si>
  <si>
    <t>Управленческие расходы, руб.:</t>
  </si>
  <si>
    <t>ИТОГО, руб.:</t>
  </si>
  <si>
    <t>Смета расходов. Стоимость и количество ресурсов.</t>
  </si>
  <si>
    <t>Ресурс</t>
  </si>
  <si>
    <t>Ед. измерения</t>
  </si>
  <si>
    <t>Цена, руб.</t>
  </si>
  <si>
    <t>Трудовые ресурсы</t>
  </si>
  <si>
    <t>Асфальтобетонщик  1 разряда</t>
  </si>
  <si>
    <t>чел.-час</t>
  </si>
  <si>
    <t>Асфальтобетонщик  2 разряда</t>
  </si>
  <si>
    <t>Асфальтобетонщик  3 разряда</t>
  </si>
  <si>
    <t>Асфальтобетонщик  4 разряда</t>
  </si>
  <si>
    <t>Дворник 1 разряда</t>
  </si>
  <si>
    <t>Изолировщик на гидроизоляции 3 разряда</t>
  </si>
  <si>
    <t>Изолировщик на термоизоляции 2 разряда</t>
  </si>
  <si>
    <t>Изолировщик на термоизоляции 3 разряда</t>
  </si>
  <si>
    <t>Каменщик 3 разряда</t>
  </si>
  <si>
    <t>Каменщик 4 разряда</t>
  </si>
  <si>
    <t>Каменщик 5 разряда</t>
  </si>
  <si>
    <t>Контролер водопроводного хозяйства 3 разряда</t>
  </si>
  <si>
    <t>Кровельщик по рулонным кровлям и по кровлям из штучных материалов 2 разряда</t>
  </si>
  <si>
    <t>Кровельщик по рулонным кровлям и по кровлям из штучных материалов 3 разряда</t>
  </si>
  <si>
    <t>Кровельщик по рулонным кровлям и по кровлям из штучных материалов 4 разряда</t>
  </si>
  <si>
    <t>Маляр 2 разряда</t>
  </si>
  <si>
    <t>Маляр 3 разряда</t>
  </si>
  <si>
    <t>Монтажник санитарно-технических систем и оборудования 4 разряда</t>
  </si>
  <si>
    <t>Монтажник санитарно-технических систем и оборудования 5 разряда</t>
  </si>
  <si>
    <t>Наладчик контрольно-измерительных приборов и автоматики 4 разряда</t>
  </si>
  <si>
    <t>Наладчик контрольно-измерительных приборов и автоматики 5 разряда</t>
  </si>
  <si>
    <t>Подсобный рабочий 1 разряда</t>
  </si>
  <si>
    <t>Рабочий зеленого хозяйства 3 разряда</t>
  </si>
  <si>
    <t>Рабочий зеленого хозяйства 4 разряда</t>
  </si>
  <si>
    <t>Рабочий зеленого хозяйства 5 разряда</t>
  </si>
  <si>
    <t>Рабочий по комплексному обслуживанию и ремонту зданий 2 разряда</t>
  </si>
  <si>
    <t>Рабочий по комплексному обслуживанию и ремонту зданий 3 разряда</t>
  </si>
  <si>
    <t>Слесарь по эксплуатации и ремонту газового оборудования 4 разряда</t>
  </si>
  <si>
    <t>Слесарь-ремонтник 3 разряда</t>
  </si>
  <si>
    <t>Слесарь-сантехник 2 разряда</t>
  </si>
  <si>
    <t>Слесарь-сантехник 3 разряда</t>
  </si>
  <si>
    <t>Слесарь-сантехник 4 разряда</t>
  </si>
  <si>
    <t>Слесарь-сантехник 5 разряда</t>
  </si>
  <si>
    <t>Слесарь-сантехник 6 разряда</t>
  </si>
  <si>
    <t>Стекольщик 2 разряда</t>
  </si>
  <si>
    <t>Стекольщик 3 разряда</t>
  </si>
  <si>
    <t>Штукатур 2 разряда</t>
  </si>
  <si>
    <t>Штукатур 4 разряда</t>
  </si>
  <si>
    <t>Электрогазосварщик 4 разряда</t>
  </si>
  <si>
    <t>Электрогазосварщик  5 разряда</t>
  </si>
  <si>
    <t>чел.-час./смену</t>
  </si>
  <si>
    <t>Электромонтер по ремонту и обслуживанию электрооборудования 3 разряда</t>
  </si>
  <si>
    <t>Электромонтер по ремонту и обслуживанию электрооборудования 4 разряда</t>
  </si>
  <si>
    <t>Материальные ресурсы</t>
  </si>
  <si>
    <t>Арматура муфтовая неоцинкованная к трубопроводам диаметром 20 мм</t>
  </si>
  <si>
    <t>шт.</t>
  </si>
  <si>
    <t>Арматура муфтовая неоцинкованная к трубопроводам диаметром 32 мм</t>
  </si>
  <si>
    <t>Арматура муфтовая оцинкованная к трубопроводам диаметром 25 мм</t>
  </si>
  <si>
    <t>Арматура муфтовая оцинкованная к трубопроводам диаметром 32 мм</t>
  </si>
  <si>
    <t xml:space="preserve">Асфальт литой (жесткий) для покрытий тротуаров </t>
  </si>
  <si>
    <t>т</t>
  </si>
  <si>
    <t>Ацетилен газообразный технический</t>
  </si>
  <si>
    <t>м3</t>
  </si>
  <si>
    <t>Ацетон технический, сорт первый</t>
  </si>
  <si>
    <t>Белила</t>
  </si>
  <si>
    <t>Бензин авиационный Б-70</t>
  </si>
  <si>
    <t>Битумы нефтяные строительные марки БН-90/10</t>
  </si>
  <si>
    <t>Болты с  гайками и шайбами для санитарно-технических работ диаметром 20-22 мм</t>
  </si>
  <si>
    <t>Болты с гайками и шайбами для санитарно-технических работ, диаметром 16 мм</t>
  </si>
  <si>
    <t>Болты с гайками и шайбами строительные</t>
  </si>
  <si>
    <t>Вентили проходные муфтовые 15КЧ18Р для воды, давлением 1.6 Мпа (16 кгс/см2) диаметром 20 мм</t>
  </si>
  <si>
    <t>Вентиль обратный муфтовый диаметром до 32 мм</t>
  </si>
  <si>
    <t>Ветошь</t>
  </si>
  <si>
    <t>кг</t>
  </si>
  <si>
    <t>Вода водопроводная</t>
  </si>
  <si>
    <t>Втулки изолирующие текстолитовые</t>
  </si>
  <si>
    <t>1000 шт.</t>
  </si>
  <si>
    <t xml:space="preserve">Гвозди толевые  круглые 3,0х40 мм </t>
  </si>
  <si>
    <t>Герметик У-30М</t>
  </si>
  <si>
    <t>Гидроизол</t>
  </si>
  <si>
    <t>м2</t>
  </si>
  <si>
    <t xml:space="preserve">Горячекатаная арматурная сталь гладкая класса А-I диаметром 8 мм </t>
  </si>
  <si>
    <t>Дрова разделанные длиной 1,5 - 2 м: ель, кедр, пихта, осина, липа</t>
  </si>
  <si>
    <t>Дюбели с калиброванной головкой (в обоймах) с цинковым хроматированным покрытием 2.5х48.5 мм</t>
  </si>
  <si>
    <t>Дюбели с калиброванной головкой (в обоймах) с цинковым хроматированным покрытием 3х78.5 мм</t>
  </si>
  <si>
    <t>Задвижка параллельная фланцевая с шпинделем, для воды и  давлением 1 Мпа (10 кгс/см230Ч6БР) диаметром 100 мм</t>
  </si>
  <si>
    <t>Известь строительная негашеная комовая, сорт I</t>
  </si>
  <si>
    <t>Известь строительная негашеная хлорная марки А</t>
  </si>
  <si>
    <t>Изделия резиновые технические морозостойкие</t>
  </si>
  <si>
    <t>Изол</t>
  </si>
  <si>
    <t>Карбид кальция для кусков 2/25</t>
  </si>
  <si>
    <t xml:space="preserve">Керосин для технических целей марок КТ-1, КТ-2 </t>
  </si>
  <si>
    <t>Кислород технический газообразный</t>
  </si>
  <si>
    <t xml:space="preserve">Кольцо уплотнительное (хомут) </t>
  </si>
  <si>
    <t>Краски масляные земляные  МА-0115: мумия, сурик  железный</t>
  </si>
  <si>
    <t>Краски масляные и алкидные густотертые: цинковые МА-011-2Н</t>
  </si>
  <si>
    <t>Краски Э-ВС-17 сухие для внутренних работ</t>
  </si>
  <si>
    <t>Крафт-бумага</t>
  </si>
  <si>
    <t>Крепления для трубопроводов: кронштейны, планки, хомуты</t>
  </si>
  <si>
    <t>Лак битумный БТ-123</t>
  </si>
  <si>
    <t xml:space="preserve">Лен трепаный </t>
  </si>
  <si>
    <t xml:space="preserve">Лента изоляционная прорезиненная односторонняя ширина 20 мм, толщина 0,25-0,35 мм </t>
  </si>
  <si>
    <t>Лента стальная горячекатаная с катаной кромкой и разрезанная в рулонах толщиной 3.5 мм, шириной 100-220 мм, сталь полуспокойная марки Ст3пс</t>
  </si>
  <si>
    <t>Листы латунные марки Л85 холоднокатаные толщиной 1 мм, размером 710 x 1410, 800 x 2000 мм</t>
  </si>
  <si>
    <t xml:space="preserve">Масло минеральное </t>
  </si>
  <si>
    <t xml:space="preserve">Масса корундовая набивная марки МК-90                   </t>
  </si>
  <si>
    <t>Мастика битумная кровельная горячая</t>
  </si>
  <si>
    <t>Мастика герметизирующая бутилкаучуковая Гермабутил-УМ</t>
  </si>
  <si>
    <t>Мастика герметизирующая нетвердеющая нетвердеющая Бутэпрол-КС</t>
  </si>
  <si>
    <t>Мастика герметизирующая нетвердеющая строительная</t>
  </si>
  <si>
    <t>Мастика Изол</t>
  </si>
  <si>
    <t>Маты минераловатные прошивные без обкладок М-100, толщина  40 мм</t>
  </si>
  <si>
    <t>Мешки полиэтиленовые, 60 л</t>
  </si>
  <si>
    <t>Моющее средство</t>
  </si>
  <si>
    <t>Мыло</t>
  </si>
  <si>
    <t xml:space="preserve">Набивка сальника водяного насоса с двухслойным оплетением сердечника, квадратная, диаметром 12 мм </t>
  </si>
  <si>
    <t>Накладка резиновая эластичная</t>
  </si>
  <si>
    <t>Олифа комбинированная К-3</t>
  </si>
  <si>
    <t>Олифа натуральная</t>
  </si>
  <si>
    <t>Очес льняной</t>
  </si>
  <si>
    <t>Пакля пропитанная</t>
  </si>
  <si>
    <t>Паронит</t>
  </si>
  <si>
    <t>Паста меловая ПМ-1</t>
  </si>
  <si>
    <t>Пемза шлаковая (щебень пористый из металлургического шлака), марка 600,фракция от 5 до 10 мм</t>
  </si>
  <si>
    <t>Пескосоляная смесь</t>
  </si>
  <si>
    <t>Пигмент тертый</t>
  </si>
  <si>
    <t>Праймер битумный</t>
  </si>
  <si>
    <t>Предохранители плавкие</t>
  </si>
  <si>
    <t xml:space="preserve">Прессшпан листовой, марки А </t>
  </si>
  <si>
    <t>Провода монтажные одножильные</t>
  </si>
  <si>
    <t>1000 пог. м.</t>
  </si>
  <si>
    <t>Проволока сварочная легированная диаметром 4 мм</t>
  </si>
  <si>
    <t>Проволока стальная низкоуглеродистая разного назначения оцинкованная диаметром 0,55 мм</t>
  </si>
  <si>
    <t>Прокладки из паронита, толщиной 1 мм, д. 100 мм</t>
  </si>
  <si>
    <t>Раствор готовый кладочный цементно-известковый М50</t>
  </si>
  <si>
    <t>Раствор готовый кладочный цементный М100</t>
  </si>
  <si>
    <t>Раствор готовый кладочный цементный М25</t>
  </si>
  <si>
    <t>Раствор готовый отделочный тяжелый, цементный 1:2</t>
  </si>
  <si>
    <t>Растворитель - бензин</t>
  </si>
  <si>
    <t>Регулятор давления</t>
  </si>
  <si>
    <t>Регулятор расхода</t>
  </si>
  <si>
    <t>Резина листовая вулканизованная цветная</t>
  </si>
  <si>
    <t>Резинотехнические изделия: пластина губчатая из резины АФ-1</t>
  </si>
  <si>
    <t>Рубероид подкладочный с пылевидной посыпкой РПП-300а</t>
  </si>
  <si>
    <t xml:space="preserve">Сжим ответвительный </t>
  </si>
  <si>
    <t>Скобы металлические</t>
  </si>
  <si>
    <t>Сталь конструкционная, марка стали 20-1А, круглая диаметром 20 мм</t>
  </si>
  <si>
    <t>Сталь круглая коррозионно-стойкая и жаростойкая марки 12Х18Н10Т диаметром 16 мм</t>
  </si>
  <si>
    <t>Сталь листовая оцинкованная толщиной листа 0,7 мм</t>
  </si>
  <si>
    <t>Стекло листовое площадью до 1.0 м2, 1 группы, толщиной 3 мм марки М1</t>
  </si>
  <si>
    <t>Сурик железный тертый</t>
  </si>
  <si>
    <t>Сурик свинцовый тертый</t>
  </si>
  <si>
    <t>Тальк молотый I сорта</t>
  </si>
  <si>
    <t>Ткань мешочная</t>
  </si>
  <si>
    <t>10 м2</t>
  </si>
  <si>
    <t>Толстолистовой горячекатаный прокат в листах с обрезными кромками толщиной 9 - 12 мм, шириной свыше 1400 до 1500 мм, сталь С255</t>
  </si>
  <si>
    <t>Трубопровод из стальных электросварных труб д. 45 мм</t>
  </si>
  <si>
    <t>пог. м</t>
  </si>
  <si>
    <t>Трубопровод из стальных электросварных труб, д. 57 мм</t>
  </si>
  <si>
    <t>Трубопроводы канализационные из полиэтиленовых труб высокой плотности с гильзами диаметром 100 мм</t>
  </si>
  <si>
    <t>Трубопроводы канализационные из полиэтиленовых труб высокой плотности с гильзами диаметром 50 мм</t>
  </si>
  <si>
    <t>Трубы стальные сварные водогазопроводные с резьбой оцинкованные обыкновенные диаметр условного прохода 25 мм, толщина стенки 3.2 мм</t>
  </si>
  <si>
    <t>Трубы стальные сварные водогазопроводные с резьбой оцинкованные обыкновенные диаметр условного прохода 32 мм, толщина стенки 3.2 мм</t>
  </si>
  <si>
    <t>Трубы стальные сварные водогазопроводные с резьбой оцинкованные обыкновенные диаметр условного прохода 40 мм, толщина стенки 3.5 мм</t>
  </si>
  <si>
    <t>Трубы стальные сварные водогазопроводные с резьбой оцинкованные обыкновенные диаметр условного прохода 50 мм, толщина стенки 3.5 мм</t>
  </si>
  <si>
    <t>Трубы стальные сварные водогазопроводные с резьбой оцинкованные обыкновенные диаметр условного прохода 80 мм, толщина стенки 4 мм</t>
  </si>
  <si>
    <t>Трубы стальные сварные водогазопроводные с резьбой оцинкованные обыкновенные, диаметр условного прохода 65 мм, толщина стенки 4 мм</t>
  </si>
  <si>
    <t>Трубы стальные сварные водогазопроводные с резьбой черные обыкновенные (неоцинкованные) диаметр условного прохода 20 мм, толщина стенки 2.8 мм</t>
  </si>
  <si>
    <t>Трубы стальные сварные водогазопроводные с резьбой черные обыкновенные (неоцинкованные) диаметр условного прохода 32 мм, толщина стенки 3.2 мм</t>
  </si>
  <si>
    <t>Шкурка шлифовальная двухслойная с зернистостью 40-25</t>
  </si>
  <si>
    <t>Шпатлевка масленно-клеевая</t>
  </si>
  <si>
    <t>Штапики</t>
  </si>
  <si>
    <t>Электроды диаметром 5 мм Э42</t>
  </si>
  <si>
    <t>Электроды диаметром 6 мм Э42</t>
  </si>
  <si>
    <t>Специнвентарь</t>
  </si>
  <si>
    <t>Ведро  оцинкованное, 12 л</t>
  </si>
  <si>
    <t xml:space="preserve">Веник обыкновенный </t>
  </si>
  <si>
    <t>Лопата штыковая</t>
  </si>
  <si>
    <t>Метла березовая</t>
  </si>
  <si>
    <t>Скребок-ледоруб</t>
  </si>
  <si>
    <t>Совок металлический</t>
  </si>
  <si>
    <t xml:space="preserve">Швабра </t>
  </si>
  <si>
    <t>Щетка д/пола 280 мм с черенком на резьбе 1,2 м.</t>
  </si>
  <si>
    <t>Машины/Механизмы</t>
  </si>
  <si>
    <t>Вышки телескопические 25 м</t>
  </si>
  <si>
    <t>маш.-час</t>
  </si>
  <si>
    <t>Газонокосилка</t>
  </si>
  <si>
    <t>Компрессор передвижной с двигателем внутреннего сгорания</t>
  </si>
  <si>
    <t>маш.-час.</t>
  </si>
  <si>
    <t>Подъемники мачтовые</t>
  </si>
  <si>
    <t>Средняя  2  группа по 4-м МУП    площадь 3193 кв. м</t>
  </si>
  <si>
    <t>Ремонт покрытия шиферной кровли</t>
  </si>
  <si>
    <t>Сети холодного  водоснабжения</t>
  </si>
  <si>
    <t>Итого</t>
  </si>
  <si>
    <t>Система  водоотведения</t>
  </si>
  <si>
    <t>Управление</t>
  </si>
  <si>
    <t>Стоимость, руб./м2 без НДС в месяц</t>
  </si>
  <si>
    <t>Стоимость, руб./м2 с НДС в месяц</t>
  </si>
  <si>
    <t>Средняя 1 группа по 4-м МУП пл. 4299 м2</t>
  </si>
  <si>
    <t>Подрядчики</t>
  </si>
  <si>
    <t>ИТОГО :</t>
  </si>
  <si>
    <t>Средняя  3  группа по 4-м МУП    площадь  580  м2</t>
  </si>
  <si>
    <t>Средняя   4  группа по 4-м МУП    площадь  310  м2</t>
  </si>
  <si>
    <t>Средняя   5  группа по 4-м МУП    площадь  290   м2</t>
  </si>
  <si>
    <t>Средняя   6  группа по 4-м МУП    площадь  230   . М2</t>
  </si>
  <si>
    <t>Размер платы</t>
  </si>
  <si>
    <t>руб/м2 в месяц с  НДС</t>
  </si>
  <si>
    <t>№ п/п</t>
  </si>
  <si>
    <t>Наименование услуг</t>
  </si>
  <si>
    <t>Жилые дома          2 группы благоустройства</t>
  </si>
  <si>
    <t>Периодичность выполнения работ</t>
  </si>
  <si>
    <t xml:space="preserve">По  графику работ                                               </t>
  </si>
  <si>
    <t xml:space="preserve">По  графику   работ                                               </t>
  </si>
  <si>
    <t>2.1</t>
  </si>
  <si>
    <t>2 раз в год</t>
  </si>
  <si>
    <t>Благоустройство и обеспечение санитарного состояния жилых зданий и придомовых территорий в том числе :</t>
  </si>
  <si>
    <t>4</t>
  </si>
  <si>
    <t>4.2</t>
  </si>
  <si>
    <t>4.3</t>
  </si>
  <si>
    <t>4.4</t>
  </si>
  <si>
    <t>4.5</t>
  </si>
  <si>
    <t>Содержание  противопожарной системы безопасности и дымоудаления</t>
  </si>
  <si>
    <t>5</t>
  </si>
  <si>
    <t>Аварийно-диспетчерское  обслуживание</t>
  </si>
  <si>
    <t>Круглосуточно</t>
  </si>
  <si>
    <t>Управление МКД</t>
  </si>
  <si>
    <t>в том числе :Организация  расчетов с населением  за услуги и работы по содержанию и ремонту общего имущества МКД и содержание паспортной службы</t>
  </si>
  <si>
    <t>По расписанию работы Абонентского отдела</t>
  </si>
  <si>
    <t>ИТОГО стоимость работ и услуг:</t>
  </si>
  <si>
    <t xml:space="preserve">ИТОГО стоимость работ и услуг </t>
  </si>
  <si>
    <t>Плата за  наем  ( по договорам найма)</t>
  </si>
  <si>
    <t>ВСЕГО  размер платы</t>
  </si>
  <si>
    <t>Жилые дома          1 группы благоустройства</t>
  </si>
  <si>
    <t>Жилые дома          3 группы благоустройства</t>
  </si>
  <si>
    <t>Жилые дома          4  группы благоустройства</t>
  </si>
  <si>
    <t>Жилые дома          5  группы благоустройства</t>
  </si>
  <si>
    <t>Жилые дома          6  группы благоустройства</t>
  </si>
  <si>
    <t>за  содержание и ремонт  общего имущества</t>
  </si>
  <si>
    <t>Содержание  и ремонт  несущих конструкций (лестниц,элементов крыш, стен,фундаментов)</t>
  </si>
  <si>
    <t>Содержание тепловых узлов</t>
  </si>
  <si>
    <t>2.2</t>
  </si>
  <si>
    <t>2.3</t>
  </si>
  <si>
    <t>Проведение технических осмотров системы вентиляции и дымоудаления</t>
  </si>
  <si>
    <t>По договору с подрядчиком</t>
  </si>
  <si>
    <t xml:space="preserve">1-3 эт. Подметание лестниц  -1 раз в неделю, выше 3-го этажа  - 1 раз в  месяц.                             Мытье лестниц 1 раз в месяц. </t>
  </si>
  <si>
    <t>Усовершенственное покрытие, неусовершенственное - подметание  3 разав неделю, уборка газонов 1 раз в неделю</t>
  </si>
  <si>
    <t>По договору ежедневно выполняется подрядчиком</t>
  </si>
  <si>
    <t>По договору 2 раза в год выполняется подрядчиком</t>
  </si>
  <si>
    <t xml:space="preserve"> Сухая и влажная уборка лестничных площадок , маршей  и кабин лифтов, мытье подъездов</t>
  </si>
  <si>
    <t xml:space="preserve"> Содержание земельного участка и придомовой территории, в т.ч. покос газонов и обрезка деревьев</t>
  </si>
  <si>
    <t>Содержание общего имущества в многоквартирном доме   в том числе :</t>
  </si>
  <si>
    <t>2.4</t>
  </si>
  <si>
    <t>Содержание и текущий ремонт  оборудования и систем инженерно- технического обеспечения  в том числе :</t>
  </si>
  <si>
    <t>7</t>
  </si>
  <si>
    <t xml:space="preserve"> Систем инженерно- технического обеспечения (внутридомовых систем горячего и холодного водоснабжения, водоотведения, теплоснабжения, электроснабжения )</t>
  </si>
  <si>
    <t xml:space="preserve">                              Содержание и ремонт лифтов </t>
  </si>
  <si>
    <t xml:space="preserve">                              Дератизация, дезинсекция</t>
  </si>
  <si>
    <t>Освидетельствование лифтов</t>
  </si>
  <si>
    <t xml:space="preserve">                             Освидетельствование лифтов</t>
  </si>
  <si>
    <t xml:space="preserve">МКД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</si>
</sst>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0000000"/>
    <numFmt numFmtId="175" formatCode="0.0000000"/>
    <numFmt numFmtId="176" formatCode="0.000000"/>
    <numFmt numFmtId="177" formatCode="0.00000"/>
    <numFmt numFmtId="178" formatCode="0.0"/>
    <numFmt numFmtId="179" formatCode="#,##0.000"/>
  </numFmts>
  <fonts count="38">
    <font>
      <sz val="9"/>
      <color indexed="8"/>
      <name val="Arial"/>
      <family val="2"/>
    </font>
    <font>
      <sz val="10"/>
      <name val="Arial"/>
      <family val="0"/>
    </font>
    <font>
      <b/>
      <sz val="18"/>
      <color indexed="16"/>
      <name val="Courier New"/>
      <family val="3"/>
    </font>
    <font>
      <b/>
      <sz val="10"/>
      <color indexed="9"/>
      <name val="Courier New"/>
      <family val="3"/>
    </font>
    <font>
      <b/>
      <sz val="14"/>
      <color indexed="16"/>
      <name val="Courier New"/>
      <family val="3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6"/>
      <name val="Arial"/>
      <family val="2"/>
    </font>
    <font>
      <b/>
      <sz val="11"/>
      <color indexed="16"/>
      <name val="Arial"/>
      <family val="2"/>
    </font>
    <font>
      <b/>
      <sz val="11"/>
      <color indexed="16"/>
      <name val="Courier New"/>
      <family val="3"/>
    </font>
    <font>
      <b/>
      <sz val="12"/>
      <color indexed="16"/>
      <name val="Courier New"/>
      <family val="3"/>
    </font>
    <font>
      <b/>
      <sz val="9"/>
      <color indexed="1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1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3" fillId="3" borderId="1" applyNumberFormat="0" applyAlignment="0" applyProtection="0"/>
    <xf numFmtId="0" fontId="24" fillId="2" borderId="2" applyNumberFormat="0" applyAlignment="0" applyProtection="0"/>
    <xf numFmtId="0" fontId="25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16" borderId="6" applyNumberFormat="0" applyAlignment="0" applyProtection="0"/>
    <xf numFmtId="0" fontId="31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3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18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3" fillId="19" borderId="9" xfId="0" applyFont="1" applyFill="1" applyBorder="1" applyAlignment="1" applyProtection="1">
      <alignment horizontal="center" vertical="center"/>
      <protection/>
    </xf>
    <xf numFmtId="0" fontId="3" fillId="19" borderId="9" xfId="0" applyFont="1" applyFill="1" applyBorder="1" applyAlignment="1" applyProtection="1">
      <alignment horizontal="center" vertical="center" wrapText="1"/>
      <protection/>
    </xf>
    <xf numFmtId="0" fontId="3" fillId="19" borderId="10" xfId="0" applyFont="1" applyFill="1" applyBorder="1" applyAlignment="1" applyProtection="1">
      <alignment horizontal="center" vertical="center"/>
      <protection/>
    </xf>
    <xf numFmtId="0" fontId="3" fillId="19" borderId="10" xfId="0" applyFont="1" applyFill="1" applyBorder="1" applyAlignment="1" applyProtection="1">
      <alignment horizontal="center" vertical="center" wrapText="1"/>
      <protection/>
    </xf>
    <xf numFmtId="0" fontId="3" fillId="19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4" fontId="0" fillId="0" borderId="13" xfId="0" applyNumberFormat="1" applyFill="1" applyBorder="1" applyAlignment="1" applyProtection="1">
      <alignment horizontal="right" vertical="center"/>
      <protection/>
    </xf>
    <xf numFmtId="4" fontId="0" fillId="0" borderId="14" xfId="0" applyNumberFormat="1" applyFill="1" applyBorder="1" applyAlignment="1" applyProtection="1">
      <alignment horizontal="right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4" fontId="8" fillId="0" borderId="0" xfId="0" applyNumberFormat="1" applyFont="1" applyFill="1" applyAlignment="1" applyProtection="1">
      <alignment horizontal="right"/>
      <protection/>
    </xf>
    <xf numFmtId="4" fontId="9" fillId="0" borderId="0" xfId="0" applyNumberFormat="1" applyFont="1" applyFill="1" applyAlignment="1" applyProtection="1">
      <alignment horizontal="right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left" vertical="center" wrapText="1"/>
      <protection/>
    </xf>
    <xf numFmtId="0" fontId="0" fillId="0" borderId="16" xfId="0" applyFill="1" applyBorder="1" applyAlignment="1" applyProtection="1">
      <alignment horizontal="right" vertical="center"/>
      <protection/>
    </xf>
    <xf numFmtId="4" fontId="0" fillId="0" borderId="16" xfId="0" applyNumberFormat="1" applyFill="1" applyBorder="1" applyAlignment="1" applyProtection="1">
      <alignment horizontal="right" vertical="center"/>
      <protection/>
    </xf>
    <xf numFmtId="4" fontId="0" fillId="0" borderId="17" xfId="0" applyNumberForma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right" vertical="center"/>
      <protection/>
    </xf>
    <xf numFmtId="4" fontId="11" fillId="0" borderId="13" xfId="0" applyNumberFormat="1" applyFont="1" applyFill="1" applyBorder="1" applyAlignment="1" applyProtection="1">
      <alignment horizontal="right" vertical="center"/>
      <protection/>
    </xf>
    <xf numFmtId="4" fontId="7" fillId="0" borderId="18" xfId="0" applyNumberFormat="1" applyFont="1" applyFill="1" applyBorder="1" applyAlignment="1" applyProtection="1">
      <alignment horizontal="right" vertical="center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8" borderId="13" xfId="0" applyFont="1" applyFill="1" applyBorder="1" applyAlignment="1" applyProtection="1">
      <alignment horizontal="center" vertical="center" wrapText="1"/>
      <protection/>
    </xf>
    <xf numFmtId="0" fontId="5" fillId="8" borderId="13" xfId="0" applyFont="1" applyFill="1" applyBorder="1" applyAlignment="1" applyProtection="1">
      <alignment horizontal="left" vertical="center" wrapText="1"/>
      <protection/>
    </xf>
    <xf numFmtId="4" fontId="5" fillId="8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left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4" fontId="0" fillId="0" borderId="21" xfId="0" applyNumberFormat="1" applyFill="1" applyBorder="1" applyAlignment="1" applyProtection="1">
      <alignment horizontal="right" vertical="center"/>
      <protection/>
    </xf>
    <xf numFmtId="4" fontId="0" fillId="0" borderId="22" xfId="0" applyNumberFormat="1" applyFill="1" applyBorder="1" applyAlignment="1" applyProtection="1">
      <alignment horizontal="right" vertical="center"/>
      <protection/>
    </xf>
    <xf numFmtId="0" fontId="3" fillId="19" borderId="23" xfId="0" applyFont="1" applyFill="1" applyBorder="1" applyAlignment="1" applyProtection="1">
      <alignment horizontal="center" vertical="center" wrapText="1"/>
      <protection/>
    </xf>
    <xf numFmtId="4" fontId="0" fillId="0" borderId="24" xfId="0" applyNumberFormat="1" applyFill="1" applyBorder="1" applyAlignment="1" applyProtection="1">
      <alignment horizontal="right" vertical="center"/>
      <protection/>
    </xf>
    <xf numFmtId="4" fontId="5" fillId="8" borderId="24" xfId="0" applyNumberFormat="1" applyFont="1" applyFill="1" applyBorder="1" applyAlignment="1" applyProtection="1">
      <alignment horizontal="right" vertical="center"/>
      <protection/>
    </xf>
    <xf numFmtId="0" fontId="0" fillId="0" borderId="25" xfId="0" applyBorder="1" applyAlignment="1">
      <alignment/>
    </xf>
    <xf numFmtId="173" fontId="0" fillId="0" borderId="25" xfId="0" applyNumberFormat="1" applyBorder="1" applyAlignment="1">
      <alignment horizontal="center"/>
    </xf>
    <xf numFmtId="173" fontId="5" fillId="8" borderId="25" xfId="0" applyNumberFormat="1" applyFont="1" applyFill="1" applyBorder="1" applyAlignment="1">
      <alignment horizontal="center"/>
    </xf>
    <xf numFmtId="173" fontId="0" fillId="8" borderId="25" xfId="0" applyNumberFormat="1" applyFill="1" applyBorder="1" applyAlignment="1">
      <alignment horizontal="center"/>
    </xf>
    <xf numFmtId="173" fontId="5" fillId="0" borderId="25" xfId="0" applyNumberFormat="1" applyFont="1" applyBorder="1" applyAlignment="1">
      <alignment horizontal="center"/>
    </xf>
    <xf numFmtId="0" fontId="7" fillId="0" borderId="26" xfId="0" applyFont="1" applyFill="1" applyBorder="1" applyAlignment="1" applyProtection="1">
      <alignment vertical="center"/>
      <protection/>
    </xf>
    <xf numFmtId="173" fontId="5" fillId="8" borderId="25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vertical="center"/>
      <protection/>
    </xf>
    <xf numFmtId="0" fontId="7" fillId="0" borderId="30" xfId="0" applyFont="1" applyFill="1" applyBorder="1" applyAlignment="1" applyProtection="1">
      <alignment vertical="center"/>
      <protection/>
    </xf>
    <xf numFmtId="4" fontId="7" fillId="0" borderId="31" xfId="0" applyNumberFormat="1" applyFont="1" applyFill="1" applyBorder="1" applyAlignment="1" applyProtection="1">
      <alignment horizontal="right" vertical="center"/>
      <protection/>
    </xf>
    <xf numFmtId="4" fontId="7" fillId="0" borderId="32" xfId="0" applyNumberFormat="1" applyFont="1" applyFill="1" applyBorder="1" applyAlignment="1" applyProtection="1">
      <alignment horizontal="right" vertical="center"/>
      <protection/>
    </xf>
    <xf numFmtId="4" fontId="7" fillId="0" borderId="33" xfId="0" applyNumberFormat="1" applyFont="1" applyFill="1" applyBorder="1" applyAlignment="1" applyProtection="1">
      <alignment horizontal="right" vertical="center"/>
      <protection/>
    </xf>
    <xf numFmtId="173" fontId="5" fillId="8" borderId="3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3" fontId="0" fillId="0" borderId="0" xfId="0" applyNumberFormat="1" applyFill="1" applyAlignment="1" applyProtection="1">
      <alignment/>
      <protection/>
    </xf>
    <xf numFmtId="173" fontId="0" fillId="0" borderId="0" xfId="0" applyNumberFormat="1" applyFill="1" applyAlignment="1" applyProtection="1">
      <alignment horizontal="center"/>
      <protection/>
    </xf>
    <xf numFmtId="4" fontId="7" fillId="0" borderId="33" xfId="0" applyNumberFormat="1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horizontal="left" vertical="center" wrapText="1"/>
      <protection/>
    </xf>
    <xf numFmtId="173" fontId="13" fillId="0" borderId="3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73" fontId="5" fillId="0" borderId="25" xfId="0" applyNumberFormat="1" applyFont="1" applyBorder="1" applyAlignment="1">
      <alignment horizontal="center" vertical="center"/>
    </xf>
    <xf numFmtId="173" fontId="5" fillId="0" borderId="35" xfId="0" applyNumberFormat="1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0" fontId="13" fillId="8" borderId="13" xfId="0" applyFont="1" applyFill="1" applyBorder="1" applyAlignment="1" applyProtection="1">
      <alignment horizontal="left" vertical="center" wrapText="1"/>
      <protection/>
    </xf>
    <xf numFmtId="0" fontId="13" fillId="8" borderId="13" xfId="0" applyFont="1" applyFill="1" applyBorder="1" applyAlignment="1" applyProtection="1">
      <alignment horizontal="center" vertical="center" wrapText="1"/>
      <protection/>
    </xf>
    <xf numFmtId="4" fontId="13" fillId="8" borderId="13" xfId="0" applyNumberFormat="1" applyFont="1" applyFill="1" applyBorder="1" applyAlignment="1" applyProtection="1">
      <alignment horizontal="right" vertical="center"/>
      <protection/>
    </xf>
    <xf numFmtId="0" fontId="14" fillId="8" borderId="13" xfId="0" applyFont="1" applyFill="1" applyBorder="1" applyAlignment="1" applyProtection="1">
      <alignment horizontal="center" vertical="center" wrapText="1"/>
      <protection/>
    </xf>
    <xf numFmtId="0" fontId="14" fillId="8" borderId="13" xfId="0" applyFont="1" applyFill="1" applyBorder="1" applyAlignment="1" applyProtection="1">
      <alignment horizontal="left" vertical="center" wrapText="1"/>
      <protection/>
    </xf>
    <xf numFmtId="4" fontId="14" fillId="8" borderId="13" xfId="0" applyNumberFormat="1" applyFont="1" applyFill="1" applyBorder="1" applyAlignment="1" applyProtection="1">
      <alignment horizontal="right" vertical="center"/>
      <protection/>
    </xf>
    <xf numFmtId="4" fontId="5" fillId="0" borderId="24" xfId="0" applyNumberFormat="1" applyFont="1" applyFill="1" applyBorder="1" applyAlignment="1" applyProtection="1">
      <alignment horizontal="right" vertical="center"/>
      <protection/>
    </xf>
    <xf numFmtId="4" fontId="13" fillId="8" borderId="24" xfId="0" applyNumberFormat="1" applyFont="1" applyFill="1" applyBorder="1" applyAlignment="1" applyProtection="1">
      <alignment horizontal="right" vertical="center"/>
      <protection/>
    </xf>
    <xf numFmtId="0" fontId="3" fillId="19" borderId="37" xfId="0" applyFont="1" applyFill="1" applyBorder="1" applyAlignment="1" applyProtection="1">
      <alignment horizontal="center" vertical="center" wrapText="1"/>
      <protection/>
    </xf>
    <xf numFmtId="173" fontId="0" fillId="0" borderId="25" xfId="0" applyNumberFormat="1" applyBorder="1" applyAlignment="1">
      <alignment horizontal="center" vertical="center"/>
    </xf>
    <xf numFmtId="173" fontId="13" fillId="8" borderId="25" xfId="0" applyNumberFormat="1" applyFont="1" applyFill="1" applyBorder="1" applyAlignment="1">
      <alignment horizontal="center" vertical="center"/>
    </xf>
    <xf numFmtId="173" fontId="14" fillId="8" borderId="25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173" fontId="0" fillId="0" borderId="38" xfId="0" applyNumberFormat="1" applyBorder="1" applyAlignment="1">
      <alignment horizontal="center" vertical="center"/>
    </xf>
    <xf numFmtId="173" fontId="13" fillId="8" borderId="38" xfId="0" applyNumberFormat="1" applyFont="1" applyFill="1" applyBorder="1" applyAlignment="1">
      <alignment horizontal="center" vertical="center"/>
    </xf>
    <xf numFmtId="173" fontId="14" fillId="8" borderId="38" xfId="0" applyNumberFormat="1" applyFont="1" applyFill="1" applyBorder="1" applyAlignment="1">
      <alignment horizontal="center" vertical="center"/>
    </xf>
    <xf numFmtId="173" fontId="5" fillId="8" borderId="38" xfId="0" applyNumberFormat="1" applyFont="1" applyFill="1" applyBorder="1" applyAlignment="1">
      <alignment horizontal="center" vertical="center"/>
    </xf>
    <xf numFmtId="0" fontId="3" fillId="19" borderId="25" xfId="0" applyFont="1" applyFill="1" applyBorder="1" applyAlignment="1" applyProtection="1">
      <alignment horizontal="center" vertical="center" wrapText="1"/>
      <protection/>
    </xf>
    <xf numFmtId="173" fontId="0" fillId="0" borderId="35" xfId="0" applyNumberFormat="1" applyBorder="1" applyAlignment="1">
      <alignment horizontal="center" vertical="center"/>
    </xf>
    <xf numFmtId="4" fontId="7" fillId="0" borderId="39" xfId="0" applyNumberFormat="1" applyFont="1" applyFill="1" applyBorder="1" applyAlignment="1" applyProtection="1">
      <alignment horizontal="center" vertical="center"/>
      <protection/>
    </xf>
    <xf numFmtId="4" fontId="7" fillId="0" borderId="34" xfId="0" applyNumberFormat="1" applyFont="1" applyFill="1" applyBorder="1" applyAlignment="1" applyProtection="1">
      <alignment horizontal="center" vertical="center"/>
      <protection/>
    </xf>
    <xf numFmtId="0" fontId="3" fillId="19" borderId="26" xfId="0" applyFont="1" applyFill="1" applyBorder="1" applyAlignment="1" applyProtection="1">
      <alignment horizontal="center" vertical="center"/>
      <protection/>
    </xf>
    <xf numFmtId="0" fontId="3" fillId="19" borderId="25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left" vertical="center"/>
      <protection/>
    </xf>
    <xf numFmtId="4" fontId="4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left" vertical="center" wrapText="1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4" fontId="0" fillId="0" borderId="25" xfId="0" applyNumberFormat="1" applyFill="1" applyBorder="1" applyAlignment="1" applyProtection="1">
      <alignment horizontal="right" vertical="center"/>
      <protection/>
    </xf>
    <xf numFmtId="0" fontId="5" fillId="8" borderId="25" xfId="0" applyFont="1" applyFill="1" applyBorder="1" applyAlignment="1" applyProtection="1">
      <alignment horizontal="center" vertical="center" wrapText="1"/>
      <protection/>
    </xf>
    <xf numFmtId="0" fontId="5" fillId="8" borderId="25" xfId="0" applyFont="1" applyFill="1" applyBorder="1" applyAlignment="1" applyProtection="1">
      <alignment horizontal="left" vertical="center" wrapText="1"/>
      <protection/>
    </xf>
    <xf numFmtId="4" fontId="5" fillId="8" borderId="25" xfId="0" applyNumberFormat="1" applyFont="1" applyFill="1" applyBorder="1" applyAlignment="1" applyProtection="1">
      <alignment horizontal="right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0" fillId="8" borderId="25" xfId="0" applyFont="1" applyFill="1" applyBorder="1" applyAlignment="1" applyProtection="1">
      <alignment horizontal="left" vertical="center" wrapText="1"/>
      <protection/>
    </xf>
    <xf numFmtId="0" fontId="0" fillId="8" borderId="25" xfId="0" applyFill="1" applyBorder="1" applyAlignment="1" applyProtection="1">
      <alignment horizontal="center" vertical="center" wrapText="1"/>
      <protection/>
    </xf>
    <xf numFmtId="4" fontId="0" fillId="8" borderId="25" xfId="0" applyNumberFormat="1" applyFill="1" applyBorder="1" applyAlignment="1" applyProtection="1">
      <alignment horizontal="right" vertical="center"/>
      <protection/>
    </xf>
    <xf numFmtId="4" fontId="5" fillId="8" borderId="25" xfId="0" applyNumberFormat="1" applyFont="1" applyFill="1" applyBorder="1" applyAlignment="1" applyProtection="1">
      <alignment horizontal="right" vertical="center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13" fillId="0" borderId="35" xfId="0" applyFont="1" applyFill="1" applyBorder="1" applyAlignment="1" applyProtection="1">
      <alignment horizontal="left" vertical="center" wrapText="1"/>
      <protection/>
    </xf>
    <xf numFmtId="0" fontId="13" fillId="0" borderId="35" xfId="0" applyFont="1" applyFill="1" applyBorder="1" applyAlignment="1" applyProtection="1">
      <alignment horizontal="center" vertical="center" wrapText="1"/>
      <protection/>
    </xf>
    <xf numFmtId="4" fontId="13" fillId="0" borderId="35" xfId="0" applyNumberFormat="1" applyFont="1" applyFill="1" applyBorder="1" applyAlignment="1" applyProtection="1">
      <alignment horizontal="right" vertical="center"/>
      <protection/>
    </xf>
    <xf numFmtId="4" fontId="14" fillId="8" borderId="24" xfId="0" applyNumberFormat="1" applyFont="1" applyFill="1" applyBorder="1" applyAlignment="1" applyProtection="1">
      <alignment horizontal="right" vertical="center"/>
      <protection/>
    </xf>
    <xf numFmtId="4" fontId="13" fillId="8" borderId="24" xfId="0" applyNumberFormat="1" applyFont="1" applyFill="1" applyBorder="1" applyAlignment="1" applyProtection="1">
      <alignment horizontal="right" vertical="center"/>
      <protection/>
    </xf>
    <xf numFmtId="173" fontId="13" fillId="8" borderId="25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 applyProtection="1">
      <alignment horizontal="center"/>
      <protection/>
    </xf>
    <xf numFmtId="2" fontId="5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center" vertical="center"/>
    </xf>
    <xf numFmtId="4" fontId="13" fillId="8" borderId="13" xfId="0" applyNumberFormat="1" applyFont="1" applyFill="1" applyBorder="1" applyAlignment="1" applyProtection="1">
      <alignment horizontal="right" vertical="center"/>
      <protection/>
    </xf>
    <xf numFmtId="173" fontId="5" fillId="0" borderId="36" xfId="0" applyNumberFormat="1" applyFont="1" applyBorder="1" applyAlignment="1">
      <alignment horizontal="center" vertical="center"/>
    </xf>
    <xf numFmtId="0" fontId="14" fillId="0" borderId="0" xfId="0" applyFont="1" applyFill="1" applyAlignment="1" applyProtection="1">
      <alignment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3" fillId="8" borderId="13" xfId="0" applyFont="1" applyFill="1" applyBorder="1" applyAlignment="1" applyProtection="1">
      <alignment horizontal="center" vertical="center" wrapText="1"/>
      <protection/>
    </xf>
    <xf numFmtId="0" fontId="13" fillId="8" borderId="13" xfId="0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/>
    </xf>
    <xf numFmtId="0" fontId="7" fillId="0" borderId="40" xfId="0" applyFont="1" applyFill="1" applyBorder="1" applyAlignment="1" applyProtection="1">
      <alignment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vertical="center"/>
      <protection/>
    </xf>
    <xf numFmtId="173" fontId="0" fillId="0" borderId="33" xfId="0" applyNumberForma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0" fontId="13" fillId="0" borderId="0" xfId="0" applyFont="1" applyFill="1" applyAlignment="1" applyProtection="1">
      <alignment/>
      <protection/>
    </xf>
    <xf numFmtId="0" fontId="13" fillId="0" borderId="41" xfId="0" applyFont="1" applyFill="1" applyBorder="1" applyAlignment="1" applyProtection="1">
      <alignment horizontal="center" vertical="center"/>
      <protection/>
    </xf>
    <xf numFmtId="0" fontId="13" fillId="0" borderId="42" xfId="0" applyFont="1" applyFill="1" applyBorder="1" applyAlignment="1" applyProtection="1">
      <alignment horizontal="left" vertical="center" wrapText="1"/>
      <protection/>
    </xf>
    <xf numFmtId="0" fontId="13" fillId="0" borderId="42" xfId="0" applyFont="1" applyFill="1" applyBorder="1" applyAlignment="1" applyProtection="1">
      <alignment horizontal="center" vertical="center" wrapText="1"/>
      <protection/>
    </xf>
    <xf numFmtId="4" fontId="13" fillId="0" borderId="42" xfId="0" applyNumberFormat="1" applyFont="1" applyFill="1" applyBorder="1" applyAlignment="1" applyProtection="1">
      <alignment horizontal="right" vertical="center"/>
      <protection/>
    </xf>
    <xf numFmtId="4" fontId="13" fillId="0" borderId="43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Alignment="1">
      <alignment/>
    </xf>
    <xf numFmtId="0" fontId="3" fillId="19" borderId="38" xfId="0" applyFont="1" applyFill="1" applyBorder="1" applyAlignment="1" applyProtection="1">
      <alignment horizontal="center" vertical="center" wrapText="1"/>
      <protection/>
    </xf>
    <xf numFmtId="173" fontId="13" fillId="8" borderId="38" xfId="0" applyNumberFormat="1" applyFont="1" applyFill="1" applyBorder="1" applyAlignment="1">
      <alignment horizontal="center" vertical="center"/>
    </xf>
    <xf numFmtId="173" fontId="13" fillId="0" borderId="44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73" fontId="5" fillId="0" borderId="46" xfId="0" applyNumberFormat="1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173" fontId="13" fillId="0" borderId="47" xfId="0" applyNumberFormat="1" applyFont="1" applyBorder="1" applyAlignment="1">
      <alignment horizontal="center" vertical="center"/>
    </xf>
    <xf numFmtId="173" fontId="5" fillId="0" borderId="39" xfId="0" applyNumberFormat="1" applyFont="1" applyBorder="1" applyAlignment="1">
      <alignment horizontal="center" vertical="center"/>
    </xf>
    <xf numFmtId="173" fontId="5" fillId="0" borderId="33" xfId="0" applyNumberFormat="1" applyFon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0" fontId="7" fillId="0" borderId="27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7" fillId="20" borderId="0" xfId="0" applyFont="1" applyFill="1" applyAlignment="1">
      <alignment horizontal="center"/>
    </xf>
    <xf numFmtId="0" fontId="17" fillId="4" borderId="48" xfId="0" applyNumberFormat="1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 wrapText="1"/>
    </xf>
    <xf numFmtId="0" fontId="18" fillId="4" borderId="50" xfId="0" applyNumberFormat="1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 wrapText="1"/>
    </xf>
    <xf numFmtId="49" fontId="19" fillId="0" borderId="50" xfId="0" applyNumberFormat="1" applyFont="1" applyFill="1" applyBorder="1" applyAlignment="1">
      <alignment horizontal="center" vertical="center"/>
    </xf>
    <xf numFmtId="173" fontId="19" fillId="0" borderId="25" xfId="0" applyNumberFormat="1" applyFont="1" applyFill="1" applyBorder="1" applyAlignment="1">
      <alignment horizontal="center" vertical="center" wrapText="1"/>
    </xf>
    <xf numFmtId="49" fontId="18" fillId="4" borderId="50" xfId="0" applyNumberFormat="1" applyFont="1" applyFill="1" applyBorder="1" applyAlignment="1">
      <alignment horizontal="center" vertical="center"/>
    </xf>
    <xf numFmtId="2" fontId="19" fillId="0" borderId="25" xfId="0" applyNumberFormat="1" applyFont="1" applyFill="1" applyBorder="1" applyAlignment="1">
      <alignment horizontal="center" vertical="center" wrapText="1"/>
    </xf>
    <xf numFmtId="1" fontId="19" fillId="0" borderId="25" xfId="0" applyNumberFormat="1" applyFont="1" applyFill="1" applyBorder="1" applyAlignment="1">
      <alignment horizontal="center" vertical="center" wrapText="1"/>
    </xf>
    <xf numFmtId="0" fontId="18" fillId="4" borderId="50" xfId="0" applyFont="1" applyFill="1" applyBorder="1" applyAlignment="1">
      <alignment horizontal="center" vertical="center" wrapText="1"/>
    </xf>
    <xf numFmtId="49" fontId="18" fillId="0" borderId="50" xfId="0" applyNumberFormat="1" applyFont="1" applyFill="1" applyBorder="1" applyAlignment="1">
      <alignment horizontal="center" vertical="center"/>
    </xf>
    <xf numFmtId="0" fontId="19" fillId="4" borderId="52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 wrapText="1"/>
    </xf>
    <xf numFmtId="173" fontId="19" fillId="0" borderId="38" xfId="0" applyNumberFormat="1" applyFont="1" applyFill="1" applyBorder="1" applyAlignment="1">
      <alignment horizontal="center" vertical="center" wrapText="1"/>
    </xf>
    <xf numFmtId="2" fontId="19" fillId="0" borderId="38" xfId="0" applyNumberFormat="1" applyFont="1" applyFill="1" applyBorder="1" applyAlignment="1">
      <alignment horizontal="center" vertical="center" wrapText="1"/>
    </xf>
    <xf numFmtId="1" fontId="19" fillId="0" borderId="38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 applyProtection="1">
      <alignment horizontal="right" vertical="center"/>
      <protection/>
    </xf>
    <xf numFmtId="173" fontId="5" fillId="0" borderId="44" xfId="0" applyNumberFormat="1" applyFont="1" applyBorder="1" applyAlignment="1">
      <alignment horizontal="center" vertical="center"/>
    </xf>
    <xf numFmtId="0" fontId="20" fillId="0" borderId="26" xfId="0" applyFont="1" applyFill="1" applyBorder="1" applyAlignment="1" applyProtection="1">
      <alignment horizontal="center" vertical="center"/>
      <protection/>
    </xf>
    <xf numFmtId="0" fontId="20" fillId="0" borderId="54" xfId="0" applyFont="1" applyFill="1" applyBorder="1" applyAlignment="1" applyProtection="1">
      <alignment vertical="center"/>
      <protection/>
    </xf>
    <xf numFmtId="0" fontId="20" fillId="0" borderId="55" xfId="0" applyFont="1" applyFill="1" applyBorder="1" applyAlignment="1" applyProtection="1">
      <alignment vertical="center"/>
      <protection/>
    </xf>
    <xf numFmtId="4" fontId="20" fillId="0" borderId="10" xfId="0" applyNumberFormat="1" applyFont="1" applyFill="1" applyBorder="1" applyAlignment="1" applyProtection="1">
      <alignment horizontal="right" vertical="center"/>
      <protection/>
    </xf>
    <xf numFmtId="4" fontId="20" fillId="0" borderId="23" xfId="0" applyNumberFormat="1" applyFont="1" applyFill="1" applyBorder="1" applyAlignment="1" applyProtection="1">
      <alignment horizontal="right" vertical="center"/>
      <protection/>
    </xf>
    <xf numFmtId="4" fontId="20" fillId="0" borderId="23" xfId="0" applyNumberFormat="1" applyFont="1" applyFill="1" applyBorder="1" applyAlignment="1" applyProtection="1">
      <alignment horizontal="center" vertical="center"/>
      <protection/>
    </xf>
    <xf numFmtId="4" fontId="20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2" fontId="17" fillId="4" borderId="56" xfId="0" applyNumberFormat="1" applyFont="1" applyFill="1" applyBorder="1" applyAlignment="1">
      <alignment horizontal="center" vertical="center" wrapText="1"/>
    </xf>
    <xf numFmtId="2" fontId="17" fillId="4" borderId="57" xfId="0" applyNumberFormat="1" applyFont="1" applyFill="1" applyBorder="1" applyAlignment="1">
      <alignment horizontal="center" vertical="center" wrapText="1"/>
    </xf>
    <xf numFmtId="2" fontId="18" fillId="4" borderId="25" xfId="0" applyNumberFormat="1" applyFont="1" applyFill="1" applyBorder="1" applyAlignment="1">
      <alignment horizontal="center" vertical="center" wrapText="1"/>
    </xf>
    <xf numFmtId="2" fontId="18" fillId="4" borderId="38" xfId="0" applyNumberFormat="1" applyFont="1" applyFill="1" applyBorder="1" applyAlignment="1">
      <alignment horizontal="center" vertical="center" wrapText="1"/>
    </xf>
    <xf numFmtId="2" fontId="18" fillId="4" borderId="58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73" fontId="5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/>
    </xf>
    <xf numFmtId="0" fontId="7" fillId="0" borderId="59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horizontal="center" vertical="center"/>
      <protection/>
    </xf>
    <xf numFmtId="4" fontId="9" fillId="0" borderId="0" xfId="0" applyNumberFormat="1" applyFont="1" applyFill="1" applyBorder="1" applyAlignment="1" applyProtection="1">
      <alignment horizontal="right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173" fontId="5" fillId="0" borderId="2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173" fontId="5" fillId="0" borderId="46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9" fillId="0" borderId="25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8" fillId="4" borderId="58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left" vertical="center" wrapText="1"/>
    </xf>
    <xf numFmtId="0" fontId="19" fillId="0" borderId="66" xfId="0" applyFont="1" applyFill="1" applyBorder="1" applyAlignment="1">
      <alignment horizontal="left" vertical="center" wrapText="1"/>
    </xf>
    <xf numFmtId="0" fontId="19" fillId="0" borderId="67" xfId="0" applyFont="1" applyFill="1" applyBorder="1" applyAlignment="1">
      <alignment horizontal="left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66" xfId="0" applyFont="1" applyFill="1" applyBorder="1" applyAlignment="1">
      <alignment horizontal="center" vertical="center" wrapText="1"/>
    </xf>
    <xf numFmtId="0" fontId="19" fillId="0" borderId="6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00000"/>
      <rgbColor rgb="00008000"/>
      <rgbColor rgb="000000B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682B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3"/>
  <sheetViews>
    <sheetView zoomScale="89" zoomScaleNormal="89" zoomScalePageLayoutView="0"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B4" sqref="B4:O4"/>
    </sheetView>
  </sheetViews>
  <sheetFormatPr defaultColWidth="9.140625" defaultRowHeight="12"/>
  <cols>
    <col min="1" max="1" width="0" style="1" hidden="1" customWidth="1"/>
    <col min="2" max="2" width="7.00390625" style="1" customWidth="1"/>
    <col min="3" max="3" width="50.00390625" style="1" customWidth="1"/>
    <col min="4" max="4" width="18.00390625" style="1" customWidth="1"/>
    <col min="5" max="5" width="15.00390625" style="1" customWidth="1"/>
    <col min="6" max="6" width="12.00390625" style="1" customWidth="1"/>
    <col min="7" max="12" width="13.00390625" style="1" customWidth="1"/>
    <col min="13" max="13" width="12.140625" style="1" customWidth="1"/>
    <col min="14" max="15" width="12.140625" style="0" customWidth="1"/>
    <col min="16" max="16" width="9.140625" style="52" customWidth="1"/>
  </cols>
  <sheetData>
    <row r="1" spans="2:13" ht="27.75" customHeight="1"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ht="12.75" thickBot="1"/>
    <row r="3" spans="1:16" ht="54.75" thickBot="1">
      <c r="A3" s="83"/>
      <c r="B3" s="79" t="s">
        <v>1</v>
      </c>
      <c r="C3" s="84" t="s">
        <v>2</v>
      </c>
      <c r="D3" s="84" t="s">
        <v>3</v>
      </c>
      <c r="E3" s="79" t="s">
        <v>4</v>
      </c>
      <c r="F3" s="79" t="s">
        <v>5</v>
      </c>
      <c r="G3" s="79" t="s">
        <v>6</v>
      </c>
      <c r="H3" s="79" t="s">
        <v>7</v>
      </c>
      <c r="I3" s="79" t="s">
        <v>8</v>
      </c>
      <c r="J3" s="79" t="s">
        <v>9</v>
      </c>
      <c r="K3" s="79" t="s">
        <v>10</v>
      </c>
      <c r="L3" s="79" t="s">
        <v>11</v>
      </c>
      <c r="M3" s="79" t="s">
        <v>12</v>
      </c>
      <c r="N3" s="79" t="s">
        <v>340</v>
      </c>
      <c r="O3" s="79" t="s">
        <v>341</v>
      </c>
      <c r="P3" s="58"/>
    </row>
    <row r="4" spans="2:16" ht="19.5" customHeight="1">
      <c r="B4" s="187" t="s">
        <v>342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58"/>
    </row>
    <row r="5" spans="2:16" ht="19.5" customHeight="1">
      <c r="B5" s="187" t="s">
        <v>13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58"/>
    </row>
    <row r="6" spans="2:16" ht="19.5" customHeight="1">
      <c r="B6" s="85"/>
      <c r="C6" s="86"/>
      <c r="D6" s="86"/>
      <c r="E6" s="85"/>
      <c r="F6" s="85"/>
      <c r="G6" s="87"/>
      <c r="H6" s="87"/>
      <c r="I6" s="87"/>
      <c r="J6" s="87"/>
      <c r="K6" s="87"/>
      <c r="L6" s="87"/>
      <c r="M6" s="87"/>
      <c r="N6" s="37"/>
      <c r="O6" s="37"/>
      <c r="P6" s="58"/>
    </row>
    <row r="7" spans="2:16" ht="12">
      <c r="B7" s="88">
        <v>1</v>
      </c>
      <c r="C7" s="89" t="s">
        <v>14</v>
      </c>
      <c r="D7" s="89" t="s">
        <v>15</v>
      </c>
      <c r="E7" s="90">
        <v>0.16</v>
      </c>
      <c r="F7" s="90">
        <v>1</v>
      </c>
      <c r="G7" s="91">
        <f>4129.831745*E7*F7</f>
        <v>660.7730792000001</v>
      </c>
      <c r="H7" s="91">
        <f>36014.7796925*E7*F7</f>
        <v>5762.3647508</v>
      </c>
      <c r="I7" s="91">
        <f>0*E7*F7</f>
        <v>0</v>
      </c>
      <c r="J7" s="91">
        <f>3464.928834055*E7*F7</f>
        <v>554.3886134488</v>
      </c>
      <c r="K7" s="91">
        <f>1526.3339095044*E7*F7</f>
        <v>244.21342552070402</v>
      </c>
      <c r="L7" s="91"/>
      <c r="M7" s="91">
        <f aca="true" t="shared" si="0" ref="M7:M14">SUM(G7:L7)</f>
        <v>7221.739868969505</v>
      </c>
      <c r="N7" s="38">
        <f aca="true" t="shared" si="1" ref="N7:N70">M7/12/4299</f>
        <v>0.13998875453534745</v>
      </c>
      <c r="O7" s="38">
        <f aca="true" t="shared" si="2" ref="O7:O14">N7*1.18</f>
        <v>0.16518673035171</v>
      </c>
      <c r="P7" s="188">
        <f>SUM(O7:O14)</f>
        <v>2.886813437522699</v>
      </c>
    </row>
    <row r="8" spans="2:16" ht="36">
      <c r="B8" s="88">
        <v>2</v>
      </c>
      <c r="C8" s="89" t="s">
        <v>16</v>
      </c>
      <c r="D8" s="89" t="s">
        <v>17</v>
      </c>
      <c r="E8" s="90">
        <v>0.01</v>
      </c>
      <c r="F8" s="90">
        <v>1</v>
      </c>
      <c r="G8" s="91">
        <f>7228.9698*E8*F8</f>
        <v>72.289698</v>
      </c>
      <c r="H8" s="91">
        <f>8184.5063755*E8*F8</f>
        <v>81.845063755</v>
      </c>
      <c r="I8" s="91">
        <f>0*E8*F8</f>
        <v>0</v>
      </c>
      <c r="J8" s="91">
        <f>6065.1056622*E8*F8</f>
        <v>60.651056622</v>
      </c>
      <c r="K8" s="91">
        <f>751.7503643195*E8*F8</f>
        <v>7.517503643195</v>
      </c>
      <c r="L8" s="91"/>
      <c r="M8" s="91">
        <f t="shared" si="0"/>
        <v>222.303322020195</v>
      </c>
      <c r="N8" s="38">
        <f t="shared" si="1"/>
        <v>0.004309206056063329</v>
      </c>
      <c r="O8" s="38">
        <f t="shared" si="2"/>
        <v>0.0050848631461547274</v>
      </c>
      <c r="P8" s="189"/>
    </row>
    <row r="9" spans="2:16" ht="36">
      <c r="B9" s="88">
        <v>3</v>
      </c>
      <c r="C9" s="89" t="s">
        <v>18</v>
      </c>
      <c r="D9" s="89" t="s">
        <v>19</v>
      </c>
      <c r="E9" s="90">
        <v>0.68</v>
      </c>
      <c r="F9" s="90">
        <v>1</v>
      </c>
      <c r="G9" s="91">
        <f>17034.9075*E9*F9</f>
        <v>11583.737100000002</v>
      </c>
      <c r="H9" s="91">
        <f>7815.316908*E9*F9</f>
        <v>5314.41549744</v>
      </c>
      <c r="I9" s="91">
        <f>242.140752*E9*F9</f>
        <v>164.65571136</v>
      </c>
      <c r="J9" s="91">
        <f>14371.321877124*E9*F9</f>
        <v>9772.49887644432</v>
      </c>
      <c r="K9" s="91">
        <f>1381.2290462993*E9*F9</f>
        <v>939.2357514835242</v>
      </c>
      <c r="L9" s="91"/>
      <c r="M9" s="91">
        <f t="shared" si="0"/>
        <v>27774.54293672785</v>
      </c>
      <c r="N9" s="38">
        <f t="shared" si="1"/>
        <v>0.5383915433187533</v>
      </c>
      <c r="O9" s="38">
        <f t="shared" si="2"/>
        <v>0.6353020211161289</v>
      </c>
      <c r="P9" s="189"/>
    </row>
    <row r="10" spans="2:16" ht="48">
      <c r="B10" s="88">
        <v>4</v>
      </c>
      <c r="C10" s="89" t="s">
        <v>20</v>
      </c>
      <c r="D10" s="89" t="s">
        <v>21</v>
      </c>
      <c r="E10" s="90">
        <v>2</v>
      </c>
      <c r="F10" s="90">
        <v>1</v>
      </c>
      <c r="G10" s="91">
        <f>4507.1000325*E10*F10</f>
        <v>9014.200065</v>
      </c>
      <c r="H10" s="91">
        <f>2991.21604194*E10*F10</f>
        <v>5982.43208388</v>
      </c>
      <c r="I10" s="91">
        <f>17267.68827*E10*F10</f>
        <v>34535.37654</v>
      </c>
      <c r="J10" s="91">
        <f>6502.5493212205*E10*F10</f>
        <v>13005.098642441</v>
      </c>
      <c r="K10" s="91">
        <f>1094.3993782981*E10*F10</f>
        <v>2188.7987565962</v>
      </c>
      <c r="L10" s="91"/>
      <c r="M10" s="91">
        <f t="shared" si="0"/>
        <v>64725.9060879172</v>
      </c>
      <c r="N10" s="38">
        <f t="shared" si="1"/>
        <v>1.2546698086360628</v>
      </c>
      <c r="O10" s="38">
        <f t="shared" si="2"/>
        <v>1.480510374190554</v>
      </c>
      <c r="P10" s="189"/>
    </row>
    <row r="11" spans="2:16" ht="24">
      <c r="B11" s="88">
        <v>5</v>
      </c>
      <c r="C11" s="89" t="s">
        <v>22</v>
      </c>
      <c r="D11" s="89" t="s">
        <v>23</v>
      </c>
      <c r="E11" s="90">
        <v>0.95</v>
      </c>
      <c r="F11" s="90">
        <v>1</v>
      </c>
      <c r="G11" s="91">
        <f>1385.2254*E11*F11</f>
        <v>1315.96413</v>
      </c>
      <c r="H11" s="91">
        <f>368.5874346*E11*F11</f>
        <v>350.15806287</v>
      </c>
      <c r="I11" s="91">
        <f>0*E11*F11</f>
        <v>0</v>
      </c>
      <c r="J11" s="91">
        <f>1162.2041106*E11*F11</f>
        <v>1104.09390507</v>
      </c>
      <c r="K11" s="91">
        <f>102.060593082*E11*F11</f>
        <v>96.9575634279</v>
      </c>
      <c r="L11" s="91"/>
      <c r="M11" s="91">
        <f t="shared" si="0"/>
        <v>2867.1736613679</v>
      </c>
      <c r="N11" s="38">
        <f t="shared" si="1"/>
        <v>0.05557830622175506</v>
      </c>
      <c r="O11" s="38">
        <f t="shared" si="2"/>
        <v>0.06558240134167097</v>
      </c>
      <c r="P11" s="189"/>
    </row>
    <row r="12" spans="2:16" ht="24">
      <c r="B12" s="88">
        <v>6</v>
      </c>
      <c r="C12" s="89" t="s">
        <v>24</v>
      </c>
      <c r="D12" s="89" t="s">
        <v>23</v>
      </c>
      <c r="E12" s="90">
        <v>0.6</v>
      </c>
      <c r="F12" s="90">
        <v>1</v>
      </c>
      <c r="G12" s="91">
        <f>1385.2254*E12*F12</f>
        <v>831.13524</v>
      </c>
      <c r="H12" s="91">
        <f>1227.194445594*E12*F12</f>
        <v>736.3166673564</v>
      </c>
      <c r="I12" s="91">
        <f>0*E12*F12</f>
        <v>0</v>
      </c>
      <c r="J12" s="91">
        <f>1162.2041106*E12*F12</f>
        <v>697.3224663599999</v>
      </c>
      <c r="K12" s="91">
        <f>132.11183846679*E12*F12</f>
        <v>79.267103080074</v>
      </c>
      <c r="L12" s="91"/>
      <c r="M12" s="91">
        <f t="shared" si="0"/>
        <v>2344.041476796474</v>
      </c>
      <c r="N12" s="38">
        <f t="shared" si="1"/>
        <v>0.04543772731636183</v>
      </c>
      <c r="O12" s="38">
        <f t="shared" si="2"/>
        <v>0.05361651823330696</v>
      </c>
      <c r="P12" s="189"/>
    </row>
    <row r="13" spans="2:16" ht="12">
      <c r="B13" s="88">
        <v>7</v>
      </c>
      <c r="C13" s="89" t="s">
        <v>25</v>
      </c>
      <c r="D13" s="89" t="s">
        <v>26</v>
      </c>
      <c r="E13" s="90">
        <v>0.03</v>
      </c>
      <c r="F13" s="90">
        <v>1</v>
      </c>
      <c r="G13" s="91">
        <f>131231.88*E13*F13</f>
        <v>3936.9564</v>
      </c>
      <c r="H13" s="91">
        <f>26299.880559183*E13*F13</f>
        <v>788.9964167754899</v>
      </c>
      <c r="I13" s="91">
        <f>0*E13*F13</f>
        <v>0</v>
      </c>
      <c r="J13" s="91">
        <f>110103.54732*E13*F13</f>
        <v>3303.1064195999998</v>
      </c>
      <c r="K13" s="91">
        <f>9367.2357757714*E13*F13</f>
        <v>281.017073273142</v>
      </c>
      <c r="L13" s="91"/>
      <c r="M13" s="91">
        <f t="shared" si="0"/>
        <v>8310.076309648632</v>
      </c>
      <c r="N13" s="38">
        <f t="shared" si="1"/>
        <v>0.16108545223014328</v>
      </c>
      <c r="O13" s="38">
        <f t="shared" si="2"/>
        <v>0.19008083363156905</v>
      </c>
      <c r="P13" s="189"/>
    </row>
    <row r="14" spans="2:16" ht="17.25" customHeight="1">
      <c r="B14" s="88">
        <v>8</v>
      </c>
      <c r="C14" s="89" t="s">
        <v>27</v>
      </c>
      <c r="D14" s="89" t="s">
        <v>28</v>
      </c>
      <c r="E14" s="90">
        <v>0.7</v>
      </c>
      <c r="F14" s="90">
        <v>1</v>
      </c>
      <c r="G14" s="91">
        <f>4155.6762*E14*F14</f>
        <v>2908.9733399999996</v>
      </c>
      <c r="H14" s="91">
        <f>9944.71699165*E14*F14</f>
        <v>6961.301894155</v>
      </c>
      <c r="I14" s="91">
        <f>0*E14*F14</f>
        <v>0</v>
      </c>
      <c r="J14" s="91">
        <f>3486.6123318*E14*F14</f>
        <v>2440.62863226</v>
      </c>
      <c r="K14" s="91">
        <f>615.54519332075*E14*F14</f>
        <v>430.88163532452495</v>
      </c>
      <c r="L14" s="91"/>
      <c r="M14" s="91">
        <f t="shared" si="0"/>
        <v>12741.785501739525</v>
      </c>
      <c r="N14" s="38">
        <f t="shared" si="1"/>
        <v>0.24699126738271546</v>
      </c>
      <c r="O14" s="38">
        <f t="shared" si="2"/>
        <v>0.2914496955116042</v>
      </c>
      <c r="P14" s="189"/>
    </row>
    <row r="15" spans="2:16" ht="21" customHeight="1">
      <c r="B15" s="88"/>
      <c r="C15" s="92" t="s">
        <v>337</v>
      </c>
      <c r="D15" s="93"/>
      <c r="E15" s="92"/>
      <c r="F15" s="92"/>
      <c r="G15" s="94">
        <f aca="true" t="shared" si="3" ref="G15:M15">SUM(G7:G14)</f>
        <v>30324.029052200003</v>
      </c>
      <c r="H15" s="94">
        <f t="shared" si="3"/>
        <v>25977.830437031895</v>
      </c>
      <c r="I15" s="94">
        <f t="shared" si="3"/>
        <v>34700.03225136</v>
      </c>
      <c r="J15" s="94">
        <f t="shared" si="3"/>
        <v>30937.78861224612</v>
      </c>
      <c r="K15" s="94">
        <f t="shared" si="3"/>
        <v>4267.888812349263</v>
      </c>
      <c r="L15" s="94">
        <f t="shared" si="3"/>
        <v>0</v>
      </c>
      <c r="M15" s="94">
        <f t="shared" si="3"/>
        <v>126207.56916518728</v>
      </c>
      <c r="N15" s="39"/>
      <c r="O15" s="39"/>
      <c r="P15" s="58"/>
    </row>
    <row r="16" spans="2:16" ht="25.5" customHeight="1">
      <c r="B16" s="190" t="s">
        <v>29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38"/>
      <c r="O16" s="38"/>
      <c r="P16" s="58"/>
    </row>
    <row r="17" spans="2:16" ht="36">
      <c r="B17" s="88">
        <v>9</v>
      </c>
      <c r="C17" s="89" t="s">
        <v>30</v>
      </c>
      <c r="D17" s="89" t="s">
        <v>31</v>
      </c>
      <c r="E17" s="90">
        <v>0.21</v>
      </c>
      <c r="F17" s="90">
        <v>1</v>
      </c>
      <c r="G17" s="91">
        <f>10141.448265*E17*F17</f>
        <v>2129.70413565</v>
      </c>
      <c r="H17" s="91">
        <f>5812.36374558*E17*F17</f>
        <v>1220.5963865718</v>
      </c>
      <c r="I17" s="91">
        <f aca="true" t="shared" si="4" ref="I17:I25">0*E17*F17</f>
        <v>0</v>
      </c>
      <c r="J17" s="91">
        <f>8508.675094335*E17*F17</f>
        <v>1786.82176981035</v>
      </c>
      <c r="K17" s="91">
        <f>856.18704867203*E17*F17</f>
        <v>179.79928022112628</v>
      </c>
      <c r="L17" s="91"/>
      <c r="M17" s="91">
        <f aca="true" t="shared" si="5" ref="M17:M25">SUM(G17:L17)</f>
        <v>5316.921572253276</v>
      </c>
      <c r="N17" s="38">
        <f t="shared" si="1"/>
        <v>0.10306508436561364</v>
      </c>
      <c r="O17" s="38">
        <f aca="true" t="shared" si="6" ref="O17:O25">N17*1.18</f>
        <v>0.12161679955142408</v>
      </c>
      <c r="P17" s="188">
        <f>SUM(O17:O25)</f>
        <v>0.8156144406513287</v>
      </c>
    </row>
    <row r="18" spans="2:16" ht="36">
      <c r="B18" s="88">
        <v>10</v>
      </c>
      <c r="C18" s="89" t="s">
        <v>32</v>
      </c>
      <c r="D18" s="89" t="s">
        <v>31</v>
      </c>
      <c r="E18" s="90">
        <v>0.125</v>
      </c>
      <c r="F18" s="90">
        <v>1</v>
      </c>
      <c r="G18" s="91">
        <f>10334.51055*E18*F18</f>
        <v>1291.81381875</v>
      </c>
      <c r="H18" s="91">
        <f>13717.873561028*E18*F18</f>
        <v>1714.7341951285</v>
      </c>
      <c r="I18" s="91">
        <f t="shared" si="4"/>
        <v>0</v>
      </c>
      <c r="J18" s="91">
        <f>8670.65435145*E18*F18</f>
        <v>1083.83179393125</v>
      </c>
      <c r="K18" s="91">
        <f>1145.3063461867*E18*F18</f>
        <v>143.1632932733375</v>
      </c>
      <c r="L18" s="91"/>
      <c r="M18" s="91">
        <f t="shared" si="5"/>
        <v>4233.543101083088</v>
      </c>
      <c r="N18" s="38">
        <f t="shared" si="1"/>
        <v>0.0820644937016959</v>
      </c>
      <c r="O18" s="38">
        <f t="shared" si="6"/>
        <v>0.09683610256800115</v>
      </c>
      <c r="P18" s="189"/>
    </row>
    <row r="19" spans="2:16" ht="24">
      <c r="B19" s="88">
        <v>11</v>
      </c>
      <c r="C19" s="89" t="s">
        <v>33</v>
      </c>
      <c r="D19" s="89" t="s">
        <v>31</v>
      </c>
      <c r="E19" s="90">
        <v>0.08</v>
      </c>
      <c r="F19" s="90">
        <v>1</v>
      </c>
      <c r="G19" s="91">
        <f>7381.79325*E19*F19</f>
        <v>590.54346</v>
      </c>
      <c r="H19" s="91">
        <f>20387.76696558*E19*F19</f>
        <v>1631.0213572464</v>
      </c>
      <c r="I19" s="91">
        <f t="shared" si="4"/>
        <v>0</v>
      </c>
      <c r="J19" s="91">
        <f>6193.32453675*E19*F19</f>
        <v>495.46596294000005</v>
      </c>
      <c r="K19" s="91">
        <f>1188.7009663315*E19*F19</f>
        <v>95.09607730652</v>
      </c>
      <c r="L19" s="91"/>
      <c r="M19" s="91">
        <f t="shared" si="5"/>
        <v>2812.12685749292</v>
      </c>
      <c r="N19" s="38">
        <f t="shared" si="1"/>
        <v>0.05451125954665658</v>
      </c>
      <c r="O19" s="38">
        <f t="shared" si="6"/>
        <v>0.06432328626505476</v>
      </c>
      <c r="P19" s="189"/>
    </row>
    <row r="20" spans="2:16" ht="24">
      <c r="B20" s="88">
        <v>12</v>
      </c>
      <c r="C20" s="89" t="s">
        <v>34</v>
      </c>
      <c r="D20" s="89" t="s">
        <v>31</v>
      </c>
      <c r="E20" s="90">
        <v>0.122</v>
      </c>
      <c r="F20" s="90">
        <v>1</v>
      </c>
      <c r="G20" s="91">
        <f>7949.6235*E20*F20</f>
        <v>969.854067</v>
      </c>
      <c r="H20" s="91">
        <f>25734.43696558*E20*F20</f>
        <v>3139.6013098007597</v>
      </c>
      <c r="I20" s="91">
        <f t="shared" si="4"/>
        <v>0</v>
      </c>
      <c r="J20" s="91">
        <f>6669.7341165*E20*F20</f>
        <v>813.707562213</v>
      </c>
      <c r="K20" s="91">
        <f>1412.3828103728*E20*F20</f>
        <v>172.31070286548157</v>
      </c>
      <c r="L20" s="91"/>
      <c r="M20" s="91">
        <f t="shared" si="5"/>
        <v>5095.473641879241</v>
      </c>
      <c r="N20" s="38">
        <f t="shared" si="1"/>
        <v>0.09877245952313021</v>
      </c>
      <c r="O20" s="38">
        <f t="shared" si="6"/>
        <v>0.11655150223729364</v>
      </c>
      <c r="P20" s="189"/>
    </row>
    <row r="21" spans="2:16" ht="36">
      <c r="B21" s="88">
        <v>13</v>
      </c>
      <c r="C21" s="89" t="s">
        <v>35</v>
      </c>
      <c r="D21" s="89" t="s">
        <v>36</v>
      </c>
      <c r="E21" s="90">
        <v>0.16</v>
      </c>
      <c r="F21" s="90">
        <v>1</v>
      </c>
      <c r="G21" s="91">
        <f>13745.6982*E21*F21</f>
        <v>2199.311712</v>
      </c>
      <c r="H21" s="91">
        <f>1219.58965345*E21*F21</f>
        <v>195.13434455200002</v>
      </c>
      <c r="I21" s="91">
        <f t="shared" si="4"/>
        <v>0</v>
      </c>
      <c r="J21" s="91">
        <f>11532.6407898*E21*F21</f>
        <v>1845.222526368</v>
      </c>
      <c r="K21" s="91">
        <f>927.42750251375*E21*F21</f>
        <v>148.3884004022</v>
      </c>
      <c r="L21" s="91"/>
      <c r="M21" s="91">
        <f t="shared" si="5"/>
        <v>4388.056983322201</v>
      </c>
      <c r="N21" s="38">
        <f t="shared" si="1"/>
        <v>0.08505964533073972</v>
      </c>
      <c r="O21" s="38">
        <f t="shared" si="6"/>
        <v>0.10037038149027286</v>
      </c>
      <c r="P21" s="189"/>
    </row>
    <row r="22" spans="2:16" ht="12">
      <c r="B22" s="88">
        <v>14</v>
      </c>
      <c r="C22" s="89" t="s">
        <v>37</v>
      </c>
      <c r="D22" s="89" t="s">
        <v>38</v>
      </c>
      <c r="E22" s="90">
        <v>0.5</v>
      </c>
      <c r="F22" s="90">
        <v>1</v>
      </c>
      <c r="G22" s="91">
        <f>1727.3256*E22*F22</f>
        <v>863.6628</v>
      </c>
      <c r="H22" s="91">
        <f>10355.898240954*E22*F22</f>
        <v>5177.949120477</v>
      </c>
      <c r="I22" s="91">
        <f t="shared" si="4"/>
        <v>0</v>
      </c>
      <c r="J22" s="91">
        <f>1449.2261784*E22*F22</f>
        <v>724.6130892</v>
      </c>
      <c r="K22" s="91">
        <f>473.63575067739*E22*F22</f>
        <v>236.817875338695</v>
      </c>
      <c r="L22" s="91"/>
      <c r="M22" s="91">
        <f t="shared" si="5"/>
        <v>7003.042885015695</v>
      </c>
      <c r="N22" s="38">
        <f t="shared" si="1"/>
        <v>0.13574945500922103</v>
      </c>
      <c r="O22" s="38">
        <f t="shared" si="6"/>
        <v>0.16018435691088082</v>
      </c>
      <c r="P22" s="189"/>
    </row>
    <row r="23" spans="2:16" ht="12">
      <c r="B23" s="88">
        <v>15</v>
      </c>
      <c r="C23" s="89" t="s">
        <v>39</v>
      </c>
      <c r="D23" s="89" t="s">
        <v>40</v>
      </c>
      <c r="E23" s="90">
        <v>0.01</v>
      </c>
      <c r="F23" s="90">
        <v>1</v>
      </c>
      <c r="G23" s="91">
        <f>31798.494*E23*F23</f>
        <v>317.98494</v>
      </c>
      <c r="H23" s="91">
        <f>261199.61519883*E23*F23</f>
        <v>2611.9961519883</v>
      </c>
      <c r="I23" s="91">
        <f t="shared" si="4"/>
        <v>0</v>
      </c>
      <c r="J23" s="91">
        <f>26678.936466*E23*F23</f>
        <v>266.78936466</v>
      </c>
      <c r="K23" s="91">
        <f>11188.696598269*E23*F23</f>
        <v>111.88696598269</v>
      </c>
      <c r="L23" s="91"/>
      <c r="M23" s="91">
        <f t="shared" si="5"/>
        <v>3308.65742263099</v>
      </c>
      <c r="N23" s="38">
        <f t="shared" si="1"/>
        <v>0.06413618327190412</v>
      </c>
      <c r="O23" s="38">
        <f t="shared" si="6"/>
        <v>0.07568069626084686</v>
      </c>
      <c r="P23" s="189"/>
    </row>
    <row r="24" spans="2:16" ht="24">
      <c r="B24" s="88">
        <v>16</v>
      </c>
      <c r="C24" s="89" t="s">
        <v>41</v>
      </c>
      <c r="D24" s="89" t="s">
        <v>40</v>
      </c>
      <c r="E24" s="90">
        <v>0.01</v>
      </c>
      <c r="F24" s="90">
        <v>1</v>
      </c>
      <c r="G24" s="91">
        <f>46562.0805*E24*F24</f>
        <v>465.62080499999996</v>
      </c>
      <c r="H24" s="91">
        <f>7687.24167883*E24*F24</f>
        <v>76.8724167883</v>
      </c>
      <c r="I24" s="91">
        <f t="shared" si="4"/>
        <v>0</v>
      </c>
      <c r="J24" s="91">
        <f>39065.5855395*E24*F24</f>
        <v>390.65585539500006</v>
      </c>
      <c r="K24" s="91">
        <f>3266.0217701416*E24*F24</f>
        <v>32.660217701416</v>
      </c>
      <c r="L24" s="91"/>
      <c r="M24" s="91">
        <f t="shared" si="5"/>
        <v>965.8092948847161</v>
      </c>
      <c r="N24" s="38">
        <f t="shared" si="1"/>
        <v>0.01872158825472428</v>
      </c>
      <c r="O24" s="38">
        <f t="shared" si="6"/>
        <v>0.02209147414057465</v>
      </c>
      <c r="P24" s="189"/>
    </row>
    <row r="25" spans="2:16" ht="12">
      <c r="B25" s="88">
        <v>17</v>
      </c>
      <c r="C25" s="89" t="s">
        <v>42</v>
      </c>
      <c r="D25" s="89" t="s">
        <v>43</v>
      </c>
      <c r="E25" s="90">
        <v>0.12</v>
      </c>
      <c r="F25" s="90">
        <v>1</v>
      </c>
      <c r="G25" s="91">
        <f>6561.594*E25*F25</f>
        <v>787.3912799999999</v>
      </c>
      <c r="H25" s="91">
        <f>8335.20664389*E25*F25</f>
        <v>1000.2247972668</v>
      </c>
      <c r="I25" s="91">
        <f t="shared" si="4"/>
        <v>0</v>
      </c>
      <c r="J25" s="91">
        <f>5505.177366*E25*F25</f>
        <v>660.62128392</v>
      </c>
      <c r="K25" s="91">
        <f>714.06923034615*E25*F25</f>
        <v>85.68830764153799</v>
      </c>
      <c r="L25" s="91"/>
      <c r="M25" s="91">
        <f t="shared" si="5"/>
        <v>2533.9256688283376</v>
      </c>
      <c r="N25" s="38">
        <f t="shared" si="1"/>
        <v>0.04911850951438974</v>
      </c>
      <c r="O25" s="38">
        <f t="shared" si="6"/>
        <v>0.057959841226979884</v>
      </c>
      <c r="P25" s="189"/>
    </row>
    <row r="26" spans="2:16" ht="25.5" customHeight="1">
      <c r="B26" s="88"/>
      <c r="C26" s="92" t="s">
        <v>337</v>
      </c>
      <c r="D26" s="93"/>
      <c r="E26" s="92"/>
      <c r="F26" s="92"/>
      <c r="G26" s="94">
        <f aca="true" t="shared" si="7" ref="G26:M26">SUM(G17:G25)</f>
        <v>9615.8870184</v>
      </c>
      <c r="H26" s="94">
        <f t="shared" si="7"/>
        <v>16768.130079819857</v>
      </c>
      <c r="I26" s="94">
        <f t="shared" si="7"/>
        <v>0</v>
      </c>
      <c r="J26" s="94">
        <f t="shared" si="7"/>
        <v>8067.7292084375995</v>
      </c>
      <c r="K26" s="94">
        <f t="shared" si="7"/>
        <v>1205.8111207330041</v>
      </c>
      <c r="L26" s="94">
        <f t="shared" si="7"/>
        <v>0</v>
      </c>
      <c r="M26" s="94">
        <f t="shared" si="7"/>
        <v>35657.557427390464</v>
      </c>
      <c r="N26" s="39"/>
      <c r="O26" s="39"/>
      <c r="P26" s="58"/>
    </row>
    <row r="27" spans="2:16" ht="27.75" customHeight="1">
      <c r="B27" s="190" t="s">
        <v>44</v>
      </c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38"/>
      <c r="O27" s="38"/>
      <c r="P27" s="58"/>
    </row>
    <row r="28" spans="2:16" ht="36">
      <c r="B28" s="88">
        <v>18</v>
      </c>
      <c r="C28" s="89" t="s">
        <v>45</v>
      </c>
      <c r="D28" s="89" t="s">
        <v>46</v>
      </c>
      <c r="E28" s="90">
        <v>0.01</v>
      </c>
      <c r="F28" s="90">
        <v>0</v>
      </c>
      <c r="G28" s="91">
        <f>10769.4685215*E28*F28</f>
        <v>0</v>
      </c>
      <c r="H28" s="91">
        <f>12814.06982338*E28*F28</f>
        <v>0</v>
      </c>
      <c r="I28" s="91">
        <f aca="true" t="shared" si="8" ref="I28:I35">0*E28*F28</f>
        <v>0</v>
      </c>
      <c r="J28" s="91">
        <f>9035.5840895385*E28*F28</f>
        <v>0</v>
      </c>
      <c r="K28" s="91">
        <f>1141.6692852046*E28*F28</f>
        <v>0</v>
      </c>
      <c r="L28" s="91"/>
      <c r="M28" s="91">
        <f aca="true" t="shared" si="9" ref="M28:M35">SUM(G28:L28)</f>
        <v>0</v>
      </c>
      <c r="N28" s="38">
        <f t="shared" si="1"/>
        <v>0</v>
      </c>
      <c r="O28" s="38">
        <f aca="true" t="shared" si="10" ref="O28:O35">N28*1.18</f>
        <v>0</v>
      </c>
      <c r="P28" s="188">
        <f>SUM(O28:O35)</f>
        <v>0.9818024236320005</v>
      </c>
    </row>
    <row r="29" spans="2:16" ht="36">
      <c r="B29" s="88">
        <v>19</v>
      </c>
      <c r="C29" s="89" t="s">
        <v>47</v>
      </c>
      <c r="D29" s="89" t="s">
        <v>46</v>
      </c>
      <c r="E29" s="90">
        <v>0.22</v>
      </c>
      <c r="F29" s="90">
        <v>1</v>
      </c>
      <c r="G29" s="91">
        <f>13116.878775*E29*F29</f>
        <v>2885.7133304999998</v>
      </c>
      <c r="H29" s="91">
        <f>19800.660853428*E29*F29</f>
        <v>4356.14538775416</v>
      </c>
      <c r="I29" s="91">
        <f t="shared" si="8"/>
        <v>0</v>
      </c>
      <c r="J29" s="91">
        <f>11005.061292225*E29*F29</f>
        <v>2421.1134842895</v>
      </c>
      <c r="K29" s="91">
        <f>1537.2910322229*E29*F29</f>
        <v>338.204027089038</v>
      </c>
      <c r="L29" s="91"/>
      <c r="M29" s="91">
        <f t="shared" si="9"/>
        <v>10001.176229632698</v>
      </c>
      <c r="N29" s="38">
        <f t="shared" si="1"/>
        <v>0.19386632995333603</v>
      </c>
      <c r="O29" s="38">
        <f t="shared" si="10"/>
        <v>0.2287622693449365</v>
      </c>
      <c r="P29" s="189"/>
    </row>
    <row r="30" spans="2:16" ht="36">
      <c r="B30" s="88">
        <v>20</v>
      </c>
      <c r="C30" s="89" t="s">
        <v>48</v>
      </c>
      <c r="D30" s="89" t="s">
        <v>46</v>
      </c>
      <c r="E30" s="90">
        <v>0.1</v>
      </c>
      <c r="F30" s="90">
        <v>1</v>
      </c>
      <c r="G30" s="91">
        <f>13786.91847*E30*F30</f>
        <v>1378.691847</v>
      </c>
      <c r="H30" s="91">
        <f>26517.70023252*E30*F30</f>
        <v>2651.770023252</v>
      </c>
      <c r="I30" s="91">
        <f t="shared" si="8"/>
        <v>0</v>
      </c>
      <c r="J30" s="91">
        <f>11567.22459633*E30*F30</f>
        <v>1156.722459633</v>
      </c>
      <c r="K30" s="91">
        <f>1815.5145154598*E30*F30</f>
        <v>181.55145154598</v>
      </c>
      <c r="L30" s="91"/>
      <c r="M30" s="91">
        <f t="shared" si="9"/>
        <v>5368.73578143098</v>
      </c>
      <c r="N30" s="38">
        <f t="shared" si="1"/>
        <v>0.10406946928415484</v>
      </c>
      <c r="O30" s="38">
        <f t="shared" si="10"/>
        <v>0.1228019737553027</v>
      </c>
      <c r="P30" s="189"/>
    </row>
    <row r="31" spans="2:16" ht="36">
      <c r="B31" s="88">
        <v>21</v>
      </c>
      <c r="C31" s="89" t="s">
        <v>49</v>
      </c>
      <c r="D31" s="89" t="s">
        <v>46</v>
      </c>
      <c r="E31" s="90">
        <v>0.1</v>
      </c>
      <c r="F31" s="90">
        <v>1</v>
      </c>
      <c r="G31" s="91">
        <f>15320.060145*E31*F31</f>
        <v>1532.0060145</v>
      </c>
      <c r="H31" s="91">
        <f>27484.52637588*E31*F31</f>
        <v>2748.452637588</v>
      </c>
      <c r="I31" s="91">
        <f t="shared" si="8"/>
        <v>0</v>
      </c>
      <c r="J31" s="91">
        <f>12853.530461655*E31*F31</f>
        <v>1285.3530461655</v>
      </c>
      <c r="K31" s="91">
        <f>1948.0340943887*E31*F31</f>
        <v>194.80340943887</v>
      </c>
      <c r="L31" s="91"/>
      <c r="M31" s="91">
        <f t="shared" si="9"/>
        <v>5760.615107692371</v>
      </c>
      <c r="N31" s="38">
        <f t="shared" si="1"/>
        <v>0.11166579645833082</v>
      </c>
      <c r="O31" s="38">
        <f t="shared" si="10"/>
        <v>0.13176563982083037</v>
      </c>
      <c r="P31" s="189"/>
    </row>
    <row r="32" spans="2:16" ht="36">
      <c r="B32" s="88">
        <v>22</v>
      </c>
      <c r="C32" s="89" t="s">
        <v>50</v>
      </c>
      <c r="D32" s="89" t="s">
        <v>46</v>
      </c>
      <c r="E32" s="90">
        <v>0.12</v>
      </c>
      <c r="F32" s="90">
        <v>1</v>
      </c>
      <c r="G32" s="91">
        <f>19851.34554*E32*F32</f>
        <v>2382.1614647999995</v>
      </c>
      <c r="H32" s="91">
        <f>45073.8836604*E32*F32</f>
        <v>5408.866039248</v>
      </c>
      <c r="I32" s="91">
        <f t="shared" si="8"/>
        <v>0</v>
      </c>
      <c r="J32" s="91">
        <f>16655.27890806*E32*F32</f>
        <v>1998.6334689672</v>
      </c>
      <c r="K32" s="91">
        <f>2855.3177837961*E32*F32</f>
        <v>342.63813405553196</v>
      </c>
      <c r="L32" s="91"/>
      <c r="M32" s="91">
        <f t="shared" si="9"/>
        <v>10132.299107070732</v>
      </c>
      <c r="N32" s="38">
        <f t="shared" si="1"/>
        <v>0.1964080620894536</v>
      </c>
      <c r="O32" s="38">
        <f t="shared" si="10"/>
        <v>0.23176151326555525</v>
      </c>
      <c r="P32" s="189"/>
    </row>
    <row r="33" spans="2:16" ht="36">
      <c r="B33" s="88">
        <v>23</v>
      </c>
      <c r="C33" s="89" t="s">
        <v>51</v>
      </c>
      <c r="D33" s="89" t="s">
        <v>52</v>
      </c>
      <c r="E33" s="90">
        <v>0.05</v>
      </c>
      <c r="F33" s="90">
        <v>6</v>
      </c>
      <c r="G33" s="91">
        <f>4150.068*E33*F33</f>
        <v>1245.0204</v>
      </c>
      <c r="H33" s="91">
        <f>13590.349304*E33*F33</f>
        <v>4077.1047912000004</v>
      </c>
      <c r="I33" s="91">
        <f t="shared" si="8"/>
        <v>0</v>
      </c>
      <c r="J33" s="91">
        <f>3481.907052*E33*F33</f>
        <v>1044.5721156</v>
      </c>
      <c r="K33" s="91">
        <f>742.78135246*E33*F33</f>
        <v>222.83440573800002</v>
      </c>
      <c r="L33" s="91"/>
      <c r="M33" s="91">
        <f t="shared" si="9"/>
        <v>6589.531712538001</v>
      </c>
      <c r="N33" s="38">
        <f t="shared" si="1"/>
        <v>0.12773380849302163</v>
      </c>
      <c r="O33" s="38">
        <f t="shared" si="10"/>
        <v>0.1507258940217655</v>
      </c>
      <c r="P33" s="189"/>
    </row>
    <row r="34" spans="2:16" ht="24">
      <c r="B34" s="88">
        <v>24</v>
      </c>
      <c r="C34" s="89" t="s">
        <v>53</v>
      </c>
      <c r="D34" s="89" t="s">
        <v>17</v>
      </c>
      <c r="E34" s="90">
        <v>0.08</v>
      </c>
      <c r="F34" s="90">
        <v>1</v>
      </c>
      <c r="G34" s="91">
        <f>12274.94775*E34*F34</f>
        <v>981.99582</v>
      </c>
      <c r="H34" s="91">
        <f>16270.42052748*E34*F34</f>
        <v>1301.6336421984001</v>
      </c>
      <c r="I34" s="91">
        <f t="shared" si="8"/>
        <v>0</v>
      </c>
      <c r="J34" s="91">
        <f>10298.68116225*E34*F34</f>
        <v>823.8944929800001</v>
      </c>
      <c r="K34" s="91">
        <f>1359.5417303906*E34*F34</f>
        <v>108.763338431248</v>
      </c>
      <c r="L34" s="91"/>
      <c r="M34" s="91">
        <f t="shared" si="9"/>
        <v>3216.2872936096483</v>
      </c>
      <c r="N34" s="38">
        <f t="shared" si="1"/>
        <v>0.06234564808888983</v>
      </c>
      <c r="O34" s="38">
        <f t="shared" si="10"/>
        <v>0.07356786474489</v>
      </c>
      <c r="P34" s="189"/>
    </row>
    <row r="35" spans="2:16" ht="12">
      <c r="B35" s="88">
        <v>25</v>
      </c>
      <c r="C35" s="89" t="s">
        <v>54</v>
      </c>
      <c r="D35" s="89" t="s">
        <v>17</v>
      </c>
      <c r="E35" s="90">
        <v>0.005</v>
      </c>
      <c r="F35" s="90">
        <v>1</v>
      </c>
      <c r="G35" s="91">
        <f>50291.5335*E35*F35</f>
        <v>251.45766749999999</v>
      </c>
      <c r="H35" s="91">
        <f>265856.956211*E35*F35</f>
        <v>1329.284781055</v>
      </c>
      <c r="I35" s="91">
        <f t="shared" si="8"/>
        <v>0</v>
      </c>
      <c r="J35" s="91">
        <f>42194.5966065*E35*F35</f>
        <v>210.97298303250003</v>
      </c>
      <c r="K35" s="91">
        <f>12542.008021113*E35*F35</f>
        <v>62.71004010556501</v>
      </c>
      <c r="L35" s="91"/>
      <c r="M35" s="91">
        <f t="shared" si="9"/>
        <v>1854.425471693065</v>
      </c>
      <c r="N35" s="38">
        <f t="shared" si="1"/>
        <v>0.03594683786332219</v>
      </c>
      <c r="O35" s="38">
        <f t="shared" si="10"/>
        <v>0.04241726867872018</v>
      </c>
      <c r="P35" s="189"/>
    </row>
    <row r="36" spans="2:16" ht="24" customHeight="1">
      <c r="B36" s="88"/>
      <c r="C36" s="92" t="s">
        <v>337</v>
      </c>
      <c r="D36" s="93"/>
      <c r="E36" s="92"/>
      <c r="F36" s="92"/>
      <c r="G36" s="94">
        <f aca="true" t="shared" si="11" ref="G36:M36">SUM(G28:G35)</f>
        <v>10657.0465443</v>
      </c>
      <c r="H36" s="94">
        <f t="shared" si="11"/>
        <v>21873.257302295562</v>
      </c>
      <c r="I36" s="94">
        <f t="shared" si="11"/>
        <v>0</v>
      </c>
      <c r="J36" s="94">
        <f t="shared" si="11"/>
        <v>8941.2620506677</v>
      </c>
      <c r="K36" s="94">
        <f t="shared" si="11"/>
        <v>1451.504806404233</v>
      </c>
      <c r="L36" s="94">
        <f t="shared" si="11"/>
        <v>0</v>
      </c>
      <c r="M36" s="94">
        <f t="shared" si="11"/>
        <v>42923.070703667494</v>
      </c>
      <c r="N36" s="39"/>
      <c r="O36" s="39"/>
      <c r="P36" s="58"/>
    </row>
    <row r="37" spans="2:16" ht="18.75" customHeight="1">
      <c r="B37" s="88"/>
      <c r="C37" s="191" t="s">
        <v>338</v>
      </c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38"/>
      <c r="O37" s="38"/>
      <c r="P37" s="58"/>
    </row>
    <row r="38" spans="2:16" ht="36">
      <c r="B38" s="88">
        <v>26</v>
      </c>
      <c r="C38" s="89" t="s">
        <v>56</v>
      </c>
      <c r="D38" s="89" t="s">
        <v>46</v>
      </c>
      <c r="E38" s="90">
        <v>0.1</v>
      </c>
      <c r="F38" s="90">
        <v>1</v>
      </c>
      <c r="G38" s="91">
        <f>7478.34776*E38*F38</f>
        <v>747.834776</v>
      </c>
      <c r="H38" s="91">
        <f>21244.517364*E38*F38</f>
        <v>2124.4517364</v>
      </c>
      <c r="I38" s="91">
        <f>0*E38*F38</f>
        <v>0</v>
      </c>
      <c r="J38" s="91">
        <f>6274.33377064*E38*F38</f>
        <v>627.4333770640001</v>
      </c>
      <c r="K38" s="91">
        <f>1224.9019613124*E38*F38</f>
        <v>122.49019613124001</v>
      </c>
      <c r="L38" s="91"/>
      <c r="M38" s="91">
        <f>SUM(G38:L38)</f>
        <v>3622.21008559524</v>
      </c>
      <c r="N38" s="38">
        <f t="shared" si="1"/>
        <v>0.07021419875930913</v>
      </c>
      <c r="O38" s="38">
        <f>N38*1.18</f>
        <v>0.08285275453598477</v>
      </c>
      <c r="P38" s="188">
        <f>SUM(O38:O39)</f>
        <v>0.1465689617264782</v>
      </c>
    </row>
    <row r="39" spans="2:16" ht="36">
      <c r="B39" s="88">
        <v>27</v>
      </c>
      <c r="C39" s="89" t="s">
        <v>57</v>
      </c>
      <c r="D39" s="89" t="s">
        <v>46</v>
      </c>
      <c r="E39" s="90">
        <v>0.1</v>
      </c>
      <c r="F39" s="90">
        <v>1</v>
      </c>
      <c r="G39" s="91">
        <f>7926.53641*E39*F39</f>
        <v>792.653641</v>
      </c>
      <c r="H39" s="91">
        <f>12336.9757112*E39*F39</f>
        <v>1233.6975711200002</v>
      </c>
      <c r="I39" s="91">
        <f>0*E39*F39</f>
        <v>0</v>
      </c>
      <c r="J39" s="91">
        <f>6650.36404799*E39*F39</f>
        <v>665.036404799</v>
      </c>
      <c r="K39" s="91">
        <f>941.98566592165*E39*F39</f>
        <v>94.19856659216501</v>
      </c>
      <c r="L39" s="91"/>
      <c r="M39" s="91">
        <f>SUM(G39:L39)</f>
        <v>2785.5861835111655</v>
      </c>
      <c r="N39" s="38">
        <f t="shared" si="1"/>
        <v>0.053996785754655455</v>
      </c>
      <c r="O39" s="38">
        <f>N39*1.18</f>
        <v>0.06371620719049344</v>
      </c>
      <c r="P39" s="189"/>
    </row>
    <row r="40" spans="1:16" s="28" customFormat="1" ht="18.75" customHeight="1">
      <c r="A40" s="27"/>
      <c r="B40" s="96"/>
      <c r="C40" s="92" t="s">
        <v>337</v>
      </c>
      <c r="D40" s="93"/>
      <c r="E40" s="92"/>
      <c r="F40" s="92"/>
      <c r="G40" s="94">
        <f aca="true" t="shared" si="12" ref="G40:M40">SUM(G38:G39)</f>
        <v>1540.488417</v>
      </c>
      <c r="H40" s="94">
        <f t="shared" si="12"/>
        <v>3358.14930752</v>
      </c>
      <c r="I40" s="94">
        <f t="shared" si="12"/>
        <v>0</v>
      </c>
      <c r="J40" s="94">
        <f t="shared" si="12"/>
        <v>1292.4697818630002</v>
      </c>
      <c r="K40" s="94">
        <f t="shared" si="12"/>
        <v>216.68876272340503</v>
      </c>
      <c r="L40" s="94">
        <f t="shared" si="12"/>
        <v>0</v>
      </c>
      <c r="M40" s="94">
        <f t="shared" si="12"/>
        <v>6407.796269106406</v>
      </c>
      <c r="N40" s="39"/>
      <c r="O40" s="39"/>
      <c r="P40" s="58"/>
    </row>
    <row r="41" spans="2:16" ht="21.75" customHeight="1">
      <c r="B41" s="190" t="s">
        <v>58</v>
      </c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38"/>
      <c r="O41" s="38"/>
      <c r="P41" s="58"/>
    </row>
    <row r="42" spans="2:16" ht="12">
      <c r="B42" s="88">
        <v>28</v>
      </c>
      <c r="C42" s="89" t="s">
        <v>59</v>
      </c>
      <c r="D42" s="89" t="s">
        <v>60</v>
      </c>
      <c r="E42" s="90">
        <v>4</v>
      </c>
      <c r="F42" s="90">
        <v>1</v>
      </c>
      <c r="G42" s="91">
        <f>8.97312*E42*F42</f>
        <v>35.89248</v>
      </c>
      <c r="H42" s="91">
        <f>856.7643*E42*F42</f>
        <v>3427.0572</v>
      </c>
      <c r="I42" s="91">
        <f>0*E42*F42</f>
        <v>0</v>
      </c>
      <c r="J42" s="91">
        <f>7.52844768*E42*F42</f>
        <v>30.11379072</v>
      </c>
      <c r="K42" s="91">
        <f>30.5643053688*E42*F42</f>
        <v>122.2572214752</v>
      </c>
      <c r="L42" s="91"/>
      <c r="M42" s="91">
        <f>SUM(G42:L42)</f>
        <v>3615.3206921952</v>
      </c>
      <c r="N42" s="38">
        <f t="shared" si="1"/>
        <v>0.07008065232602931</v>
      </c>
      <c r="O42" s="38">
        <f>N42*1.18</f>
        <v>0.08269516974471458</v>
      </c>
      <c r="P42" s="188">
        <f>SUM(O42:O44)</f>
        <v>0.16162842242001216</v>
      </c>
    </row>
    <row r="43" spans="2:16" ht="12">
      <c r="B43" s="88">
        <v>29</v>
      </c>
      <c r="C43" s="89" t="s">
        <v>61</v>
      </c>
      <c r="D43" s="89" t="s">
        <v>62</v>
      </c>
      <c r="E43" s="90">
        <v>0.03</v>
      </c>
      <c r="F43" s="90">
        <v>1</v>
      </c>
      <c r="G43" s="91">
        <f>22432.8*E43*F43</f>
        <v>672.9839999999999</v>
      </c>
      <c r="H43" s="91">
        <f>29909.1502362*E43*F43</f>
        <v>897.274507086</v>
      </c>
      <c r="I43" s="91">
        <f>0*E43*F43</f>
        <v>0</v>
      </c>
      <c r="J43" s="91">
        <f>18821.1192*E43*F43</f>
        <v>564.6335760000001</v>
      </c>
      <c r="K43" s="91">
        <f>2490.707430267*E43*F43</f>
        <v>74.72122290800999</v>
      </c>
      <c r="L43" s="91"/>
      <c r="M43" s="91">
        <f>SUM(G43:L43)</f>
        <v>2209.6133059940103</v>
      </c>
      <c r="N43" s="38">
        <f t="shared" si="1"/>
        <v>0.04283192420706386</v>
      </c>
      <c r="O43" s="38">
        <f>N43*1.18</f>
        <v>0.05054167056433535</v>
      </c>
      <c r="P43" s="189"/>
    </row>
    <row r="44" spans="2:16" ht="12">
      <c r="B44" s="88">
        <v>30</v>
      </c>
      <c r="C44" s="89" t="s">
        <v>63</v>
      </c>
      <c r="D44" s="89" t="s">
        <v>64</v>
      </c>
      <c r="E44" s="90">
        <v>4</v>
      </c>
      <c r="F44" s="90">
        <v>1</v>
      </c>
      <c r="G44" s="91">
        <f>152.683245*E44*F44</f>
        <v>610.73298</v>
      </c>
      <c r="H44" s="91">
        <f>19.032293322*E44*F44</f>
        <v>76.129173288</v>
      </c>
      <c r="I44" s="91">
        <f>0*E44*F44</f>
        <v>0</v>
      </c>
      <c r="J44" s="91">
        <f>128.101242555*E44*F44</f>
        <v>512.40497022</v>
      </c>
      <c r="K44" s="91">
        <f>10.493587330695*E44*F44</f>
        <v>41.97434932278</v>
      </c>
      <c r="L44" s="91"/>
      <c r="M44" s="91">
        <f>SUM(G44:L44)</f>
        <v>1241.24147283078</v>
      </c>
      <c r="N44" s="38">
        <f t="shared" si="1"/>
        <v>0.024060662805900208</v>
      </c>
      <c r="O44" s="38">
        <f>N44*1.18</f>
        <v>0.028391582110962245</v>
      </c>
      <c r="P44" s="189"/>
    </row>
    <row r="45" spans="2:16" ht="19.5" customHeight="1">
      <c r="B45" s="88"/>
      <c r="C45" s="92" t="s">
        <v>337</v>
      </c>
      <c r="D45" s="93"/>
      <c r="E45" s="92"/>
      <c r="F45" s="92"/>
      <c r="G45" s="94">
        <f aca="true" t="shared" si="13" ref="G45:M45">SUM(G42:G44)</f>
        <v>1319.60946</v>
      </c>
      <c r="H45" s="94">
        <f t="shared" si="13"/>
        <v>4400.460880374</v>
      </c>
      <c r="I45" s="94">
        <f t="shared" si="13"/>
        <v>0</v>
      </c>
      <c r="J45" s="94">
        <f t="shared" si="13"/>
        <v>1107.1523369400002</v>
      </c>
      <c r="K45" s="94">
        <f t="shared" si="13"/>
        <v>238.95279370599</v>
      </c>
      <c r="L45" s="94">
        <f t="shared" si="13"/>
        <v>0</v>
      </c>
      <c r="M45" s="94">
        <f t="shared" si="13"/>
        <v>7066.175471019989</v>
      </c>
      <c r="N45" s="39"/>
      <c r="O45" s="39"/>
      <c r="P45" s="58"/>
    </row>
    <row r="46" spans="2:16" ht="12">
      <c r="B46" s="88"/>
      <c r="C46" s="89"/>
      <c r="D46" s="89"/>
      <c r="E46" s="90"/>
      <c r="F46" s="90"/>
      <c r="G46" s="91"/>
      <c r="H46" s="91"/>
      <c r="I46" s="91"/>
      <c r="J46" s="91"/>
      <c r="K46" s="91"/>
      <c r="L46" s="91"/>
      <c r="M46" s="91"/>
      <c r="N46" s="38"/>
      <c r="O46" s="38"/>
      <c r="P46" s="58"/>
    </row>
    <row r="47" spans="2:16" ht="18.75" customHeight="1">
      <c r="B47" s="190" t="s">
        <v>65</v>
      </c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38">
        <f t="shared" si="1"/>
        <v>0</v>
      </c>
      <c r="O47" s="38"/>
      <c r="P47" s="58"/>
    </row>
    <row r="48" spans="2:16" ht="12">
      <c r="B48" s="88">
        <v>31</v>
      </c>
      <c r="C48" s="89" t="s">
        <v>66</v>
      </c>
      <c r="D48" s="89" t="s">
        <v>67</v>
      </c>
      <c r="E48" s="90">
        <v>0.04</v>
      </c>
      <c r="F48" s="90">
        <v>1</v>
      </c>
      <c r="G48" s="91">
        <f>2450.7834*E48*F48</f>
        <v>98.031336</v>
      </c>
      <c r="H48" s="91">
        <f>14387.975047303*E48*F48</f>
        <v>575.5190018921201</v>
      </c>
      <c r="I48" s="91">
        <f aca="true" t="shared" si="14" ref="I48:I61">0*E48*F48</f>
        <v>0</v>
      </c>
      <c r="J48" s="91">
        <f>2056.2072726*E48*F48</f>
        <v>82.248290904</v>
      </c>
      <c r="K48" s="91">
        <f>661.32380019662*E48*F48</f>
        <v>26.452952007864802</v>
      </c>
      <c r="L48" s="91"/>
      <c r="M48" s="91">
        <f aca="true" t="shared" si="15" ref="M48:M61">SUM(G48:L48)</f>
        <v>782.2515808039849</v>
      </c>
      <c r="N48" s="38">
        <f t="shared" si="1"/>
        <v>0.015163440738233405</v>
      </c>
      <c r="O48" s="38">
        <f aca="true" t="shared" si="16" ref="O48:O61">N48*1.18</f>
        <v>0.017892860071115416</v>
      </c>
      <c r="P48" s="188">
        <f>SUM(O48:O61)</f>
        <v>1.5005313006853973</v>
      </c>
    </row>
    <row r="49" spans="2:16" ht="24">
      <c r="B49" s="88">
        <v>32</v>
      </c>
      <c r="C49" s="89" t="s">
        <v>68</v>
      </c>
      <c r="D49" s="89" t="s">
        <v>69</v>
      </c>
      <c r="E49" s="90">
        <v>4.299</v>
      </c>
      <c r="F49" s="90">
        <v>2</v>
      </c>
      <c r="G49" s="91">
        <f>47.97*E49*F49</f>
        <v>412.44606000000005</v>
      </c>
      <c r="H49" s="91">
        <f>0*E49*F49</f>
        <v>0</v>
      </c>
      <c r="I49" s="91">
        <f t="shared" si="14"/>
        <v>0</v>
      </c>
      <c r="J49" s="91">
        <f>40.24683*E49*F49</f>
        <v>346.0422443400001</v>
      </c>
      <c r="K49" s="91">
        <f>3.08758905*E49*F49</f>
        <v>26.547090651900003</v>
      </c>
      <c r="L49" s="91"/>
      <c r="M49" s="91">
        <f t="shared" si="15"/>
        <v>785.0353949919001</v>
      </c>
      <c r="N49" s="38">
        <f t="shared" si="1"/>
        <v>0.015217403175000003</v>
      </c>
      <c r="O49" s="38">
        <f t="shared" si="16"/>
        <v>0.017956535746500003</v>
      </c>
      <c r="P49" s="189"/>
    </row>
    <row r="50" spans="2:16" ht="24">
      <c r="B50" s="88">
        <v>33</v>
      </c>
      <c r="C50" s="89" t="s">
        <v>70</v>
      </c>
      <c r="D50" s="89" t="s">
        <v>69</v>
      </c>
      <c r="E50" s="90">
        <v>4.299</v>
      </c>
      <c r="F50" s="90">
        <v>2</v>
      </c>
      <c r="G50" s="91">
        <f>382.53*E50*F50</f>
        <v>3288.99294</v>
      </c>
      <c r="H50" s="91">
        <f>0*E50*F50</f>
        <v>0</v>
      </c>
      <c r="I50" s="91">
        <f t="shared" si="14"/>
        <v>0</v>
      </c>
      <c r="J50" s="91">
        <f>320.94267*E50*F50</f>
        <v>2759.4650766600002</v>
      </c>
      <c r="K50" s="91">
        <f>24.62154345*E50*F50</f>
        <v>211.69603058310003</v>
      </c>
      <c r="L50" s="91"/>
      <c r="M50" s="91">
        <f t="shared" si="15"/>
        <v>6260.154047243101</v>
      </c>
      <c r="N50" s="38">
        <f t="shared" si="1"/>
        <v>0.121349035575</v>
      </c>
      <c r="O50" s="38">
        <f t="shared" si="16"/>
        <v>0.14319186197849998</v>
      </c>
      <c r="P50" s="189"/>
    </row>
    <row r="51" spans="2:16" ht="12">
      <c r="B51" s="88">
        <v>34</v>
      </c>
      <c r="C51" s="89" t="s">
        <v>71</v>
      </c>
      <c r="D51" s="89" t="s">
        <v>72</v>
      </c>
      <c r="E51" s="90">
        <v>0.7</v>
      </c>
      <c r="F51" s="90">
        <v>2</v>
      </c>
      <c r="G51" s="91">
        <f>374.836*E51*F51</f>
        <v>524.7704</v>
      </c>
      <c r="H51" s="91">
        <f>0*E51*F51</f>
        <v>0</v>
      </c>
      <c r="I51" s="91">
        <f t="shared" si="14"/>
        <v>0</v>
      </c>
      <c r="J51" s="91">
        <f>314.487404*E51*F51</f>
        <v>440.2823656</v>
      </c>
      <c r="K51" s="91">
        <f>24.12631914*E51*F51</f>
        <v>33.776846795999994</v>
      </c>
      <c r="L51" s="91"/>
      <c r="M51" s="91">
        <f t="shared" si="15"/>
        <v>998.8296123959999</v>
      </c>
      <c r="N51" s="38">
        <f t="shared" si="1"/>
        <v>0.019361665743893926</v>
      </c>
      <c r="O51" s="38">
        <f t="shared" si="16"/>
        <v>0.02284676557779483</v>
      </c>
      <c r="P51" s="189"/>
    </row>
    <row r="52" spans="2:16" ht="24">
      <c r="B52" s="88">
        <v>35</v>
      </c>
      <c r="C52" s="89" t="s">
        <v>73</v>
      </c>
      <c r="D52" s="89" t="s">
        <v>74</v>
      </c>
      <c r="E52" s="90">
        <v>0.72</v>
      </c>
      <c r="F52" s="90">
        <v>1</v>
      </c>
      <c r="G52" s="91">
        <f>7571.07*E52*F52</f>
        <v>5451.1704</v>
      </c>
      <c r="H52" s="91">
        <f>0*E52*F52</f>
        <v>0</v>
      </c>
      <c r="I52" s="91">
        <f t="shared" si="14"/>
        <v>0</v>
      </c>
      <c r="J52" s="91">
        <f>6352.12773*E52*F52</f>
        <v>4573.5319656</v>
      </c>
      <c r="K52" s="91">
        <f>487.31192055*E52*F52</f>
        <v>350.864582796</v>
      </c>
      <c r="L52" s="91"/>
      <c r="M52" s="91">
        <f t="shared" si="15"/>
        <v>10375.566948396001</v>
      </c>
      <c r="N52" s="38">
        <f t="shared" si="1"/>
        <v>0.20112365178715982</v>
      </c>
      <c r="O52" s="38">
        <f t="shared" si="16"/>
        <v>0.23732590910884857</v>
      </c>
      <c r="P52" s="189"/>
    </row>
    <row r="53" spans="2:16" ht="36">
      <c r="B53" s="88">
        <v>36</v>
      </c>
      <c r="C53" s="89" t="s">
        <v>75</v>
      </c>
      <c r="D53" s="89" t="s">
        <v>76</v>
      </c>
      <c r="E53" s="90">
        <v>0.1</v>
      </c>
      <c r="F53" s="90">
        <v>4</v>
      </c>
      <c r="G53" s="91">
        <f>3942.5646*E53*F53</f>
        <v>1577.0258400000002</v>
      </c>
      <c r="H53" s="91">
        <f>723.3433445*E53*F53</f>
        <v>289.3373378</v>
      </c>
      <c r="I53" s="91">
        <f t="shared" si="14"/>
        <v>0</v>
      </c>
      <c r="J53" s="91">
        <f>3307.8116994*E53*F53</f>
        <v>1323.1246797600002</v>
      </c>
      <c r="K53" s="91">
        <f>279.0801875365*E53*F53</f>
        <v>111.63207501459999</v>
      </c>
      <c r="L53" s="91"/>
      <c r="M53" s="91">
        <f t="shared" si="15"/>
        <v>3301.1199325746006</v>
      </c>
      <c r="N53" s="38">
        <f t="shared" si="1"/>
        <v>0.0639900739042917</v>
      </c>
      <c r="O53" s="38">
        <f t="shared" si="16"/>
        <v>0.0755082872070642</v>
      </c>
      <c r="P53" s="189"/>
    </row>
    <row r="54" spans="2:16" ht="24">
      <c r="B54" s="88">
        <v>38</v>
      </c>
      <c r="C54" s="89" t="s">
        <v>77</v>
      </c>
      <c r="D54" s="89" t="s">
        <v>78</v>
      </c>
      <c r="E54" s="90">
        <v>0.18</v>
      </c>
      <c r="F54" s="90">
        <v>1</v>
      </c>
      <c r="G54" s="91">
        <f>1135.6605*E54*F54</f>
        <v>204.41888999999998</v>
      </c>
      <c r="H54" s="91">
        <f aca="true" t="shared" si="17" ref="H54:H59">0*E54*F54</f>
        <v>0</v>
      </c>
      <c r="I54" s="91">
        <f t="shared" si="14"/>
        <v>0</v>
      </c>
      <c r="J54" s="91">
        <f>952.8191595*E54*F54</f>
        <v>171.50744870999998</v>
      </c>
      <c r="K54" s="91">
        <f>73.0967880825*E54*F54</f>
        <v>13.15742185485</v>
      </c>
      <c r="L54" s="91"/>
      <c r="M54" s="91">
        <f t="shared" si="15"/>
        <v>389.08376056484997</v>
      </c>
      <c r="N54" s="38">
        <f t="shared" si="1"/>
        <v>0.007542136942018492</v>
      </c>
      <c r="O54" s="38">
        <f t="shared" si="16"/>
        <v>0.008899721591581821</v>
      </c>
      <c r="P54" s="189"/>
    </row>
    <row r="55" spans="2:16" ht="12">
      <c r="B55" s="88">
        <v>39</v>
      </c>
      <c r="C55" s="89" t="s">
        <v>79</v>
      </c>
      <c r="D55" s="89" t="s">
        <v>80</v>
      </c>
      <c r="E55" s="90">
        <v>6</v>
      </c>
      <c r="F55" s="90">
        <v>1</v>
      </c>
      <c r="G55" s="91">
        <f>224.328*E55*F55</f>
        <v>1345.968</v>
      </c>
      <c r="H55" s="91">
        <f t="shared" si="17"/>
        <v>0</v>
      </c>
      <c r="I55" s="91">
        <f t="shared" si="14"/>
        <v>0</v>
      </c>
      <c r="J55" s="91">
        <f>188.211192*E55*F55</f>
        <v>1129.2671520000001</v>
      </c>
      <c r="K55" s="91">
        <f>14.43887172*E55*F55</f>
        <v>86.63323032</v>
      </c>
      <c r="L55" s="91"/>
      <c r="M55" s="91">
        <f t="shared" si="15"/>
        <v>2561.8683823200004</v>
      </c>
      <c r="N55" s="38">
        <f t="shared" si="1"/>
        <v>0.04966016093510119</v>
      </c>
      <c r="O55" s="38">
        <f t="shared" si="16"/>
        <v>0.058598989903419406</v>
      </c>
      <c r="P55" s="189"/>
    </row>
    <row r="56" spans="2:16" ht="36">
      <c r="B56" s="88">
        <v>40</v>
      </c>
      <c r="C56" s="89" t="s">
        <v>81</v>
      </c>
      <c r="D56" s="89" t="s">
        <v>82</v>
      </c>
      <c r="E56" s="90">
        <v>0.96</v>
      </c>
      <c r="F56" s="90">
        <v>2</v>
      </c>
      <c r="G56" s="91">
        <f>504.738*E56*F56</f>
        <v>969.09696</v>
      </c>
      <c r="H56" s="91">
        <f t="shared" si="17"/>
        <v>0</v>
      </c>
      <c r="I56" s="91">
        <f t="shared" si="14"/>
        <v>0</v>
      </c>
      <c r="J56" s="91">
        <f>423.475182*E56*F56</f>
        <v>813.07234944</v>
      </c>
      <c r="K56" s="91">
        <f>32.48746137*E56*F56</f>
        <v>62.37592583039999</v>
      </c>
      <c r="L56" s="91"/>
      <c r="M56" s="91">
        <f t="shared" si="15"/>
        <v>1844.5452352704</v>
      </c>
      <c r="N56" s="38">
        <f t="shared" si="1"/>
        <v>0.03575531587327285</v>
      </c>
      <c r="O56" s="38">
        <f t="shared" si="16"/>
        <v>0.042191272730461964</v>
      </c>
      <c r="P56" s="189"/>
    </row>
    <row r="57" spans="2:16" ht="12">
      <c r="B57" s="88">
        <v>41</v>
      </c>
      <c r="C57" s="89" t="s">
        <v>83</v>
      </c>
      <c r="D57" s="89" t="s">
        <v>84</v>
      </c>
      <c r="E57" s="90">
        <v>1</v>
      </c>
      <c r="F57" s="90">
        <v>1</v>
      </c>
      <c r="G57" s="91">
        <f>448.656*E57*F57</f>
        <v>448.656</v>
      </c>
      <c r="H57" s="91">
        <f t="shared" si="17"/>
        <v>0</v>
      </c>
      <c r="I57" s="91">
        <f t="shared" si="14"/>
        <v>0</v>
      </c>
      <c r="J57" s="91">
        <f>376.422384*E57*F57</f>
        <v>376.422384</v>
      </c>
      <c r="K57" s="91">
        <f>28.87774344*E57*F57</f>
        <v>28.87774344</v>
      </c>
      <c r="L57" s="91"/>
      <c r="M57" s="91">
        <f t="shared" si="15"/>
        <v>853.95612744</v>
      </c>
      <c r="N57" s="38">
        <f t="shared" si="1"/>
        <v>0.016553386978367064</v>
      </c>
      <c r="O57" s="38">
        <f t="shared" si="16"/>
        <v>0.019532996634473134</v>
      </c>
      <c r="P57" s="189"/>
    </row>
    <row r="58" spans="2:16" ht="12">
      <c r="B58" s="88">
        <v>42</v>
      </c>
      <c r="C58" s="89" t="s">
        <v>85</v>
      </c>
      <c r="D58" s="89" t="s">
        <v>31</v>
      </c>
      <c r="E58" s="90">
        <v>24.1</v>
      </c>
      <c r="F58" s="90">
        <v>1</v>
      </c>
      <c r="G58" s="91">
        <f>438.49892525215*E58*F58</f>
        <v>10567.824098576815</v>
      </c>
      <c r="H58" s="91">
        <f t="shared" si="17"/>
        <v>0</v>
      </c>
      <c r="I58" s="91">
        <f t="shared" si="14"/>
        <v>0</v>
      </c>
      <c r="J58" s="91">
        <f>367.90059828656*E58*F58</f>
        <v>8866.404418706097</v>
      </c>
      <c r="K58" s="91">
        <f>28.223983323855*E58*F58</f>
        <v>680.1979981049055</v>
      </c>
      <c r="L58" s="91"/>
      <c r="M58" s="91">
        <f t="shared" si="15"/>
        <v>20114.42651538782</v>
      </c>
      <c r="N58" s="38">
        <f t="shared" si="1"/>
        <v>0.38990514296712064</v>
      </c>
      <c r="O58" s="38">
        <f t="shared" si="16"/>
        <v>0.46008806870120234</v>
      </c>
      <c r="P58" s="189"/>
    </row>
    <row r="59" spans="2:16" ht="24">
      <c r="B59" s="88">
        <v>43</v>
      </c>
      <c r="C59" s="89" t="s">
        <v>86</v>
      </c>
      <c r="D59" s="89" t="s">
        <v>31</v>
      </c>
      <c r="E59" s="90">
        <v>24.1</v>
      </c>
      <c r="F59" s="90">
        <v>1</v>
      </c>
      <c r="G59" s="91">
        <f>16.974152*E59*F59</f>
        <v>409.07706320000005</v>
      </c>
      <c r="H59" s="91">
        <f t="shared" si="17"/>
        <v>0</v>
      </c>
      <c r="I59" s="91">
        <f t="shared" si="14"/>
        <v>0</v>
      </c>
      <c r="J59" s="91">
        <f>14.241313528*E59*F59</f>
        <v>343.2156560248</v>
      </c>
      <c r="K59" s="91">
        <f>1.09254129348*E59*F59</f>
        <v>26.330245172868004</v>
      </c>
      <c r="L59" s="91"/>
      <c r="M59" s="91">
        <f t="shared" si="15"/>
        <v>778.622964397668</v>
      </c>
      <c r="N59" s="38">
        <f t="shared" si="1"/>
        <v>0.015093102357092117</v>
      </c>
      <c r="O59" s="38">
        <f t="shared" si="16"/>
        <v>0.017809860781368696</v>
      </c>
      <c r="P59" s="189"/>
    </row>
    <row r="60" spans="2:16" ht="24">
      <c r="B60" s="88">
        <v>44</v>
      </c>
      <c r="C60" s="89" t="s">
        <v>87</v>
      </c>
      <c r="D60" s="89" t="s">
        <v>88</v>
      </c>
      <c r="E60" s="90">
        <v>60</v>
      </c>
      <c r="F60" s="90">
        <v>1</v>
      </c>
      <c r="G60" s="91">
        <f>103.6815975*E60*F60</f>
        <v>6220.89585</v>
      </c>
      <c r="H60" s="91">
        <f>14.32165*E60*F60</f>
        <v>859.299</v>
      </c>
      <c r="I60" s="91">
        <f t="shared" si="14"/>
        <v>0</v>
      </c>
      <c r="J60" s="91">
        <f>86.9888603025*E60*F60</f>
        <v>5219.33161815</v>
      </c>
      <c r="K60" s="91">
        <f>7.1747237730875*E60*F60</f>
        <v>430.48342638525</v>
      </c>
      <c r="L60" s="91"/>
      <c r="M60" s="91">
        <f t="shared" si="15"/>
        <v>12730.009894535251</v>
      </c>
      <c r="N60" s="38">
        <f t="shared" si="1"/>
        <v>0.2467630048564637</v>
      </c>
      <c r="O60" s="38">
        <f t="shared" si="16"/>
        <v>0.2911803457306272</v>
      </c>
      <c r="P60" s="189"/>
    </row>
    <row r="61" spans="2:16" ht="24">
      <c r="B61" s="88">
        <v>45</v>
      </c>
      <c r="C61" s="89" t="s">
        <v>89</v>
      </c>
      <c r="D61" s="89" t="s">
        <v>90</v>
      </c>
      <c r="E61" s="90">
        <v>0.32</v>
      </c>
      <c r="F61" s="90">
        <v>1</v>
      </c>
      <c r="G61" s="91">
        <f>6281.184*E61*F61</f>
        <v>2009.9788800000001</v>
      </c>
      <c r="H61" s="91">
        <f>0*E61*F61</f>
        <v>0</v>
      </c>
      <c r="I61" s="91">
        <f t="shared" si="14"/>
        <v>0</v>
      </c>
      <c r="J61" s="91">
        <f>5269.913376*E61*F61</f>
        <v>1686.37228032</v>
      </c>
      <c r="K61" s="91">
        <f>404.28840816*E61*F61</f>
        <v>129.37229061120001</v>
      </c>
      <c r="L61" s="91"/>
      <c r="M61" s="91">
        <f t="shared" si="15"/>
        <v>3825.7234509312</v>
      </c>
      <c r="N61" s="38">
        <f t="shared" si="1"/>
        <v>0.07415917366308444</v>
      </c>
      <c r="O61" s="38">
        <f t="shared" si="16"/>
        <v>0.08750782492243964</v>
      </c>
      <c r="P61" s="189"/>
    </row>
    <row r="62" spans="2:16" ht="20.25" customHeight="1">
      <c r="B62" s="88"/>
      <c r="C62" s="92" t="s">
        <v>337</v>
      </c>
      <c r="D62" s="97"/>
      <c r="E62" s="98"/>
      <c r="F62" s="98"/>
      <c r="G62" s="94">
        <f aca="true" t="shared" si="18" ref="G62:M62">SUM(G48:G61)</f>
        <v>33528.35271777682</v>
      </c>
      <c r="H62" s="94">
        <f t="shared" si="18"/>
        <v>1724.15533969212</v>
      </c>
      <c r="I62" s="94">
        <f t="shared" si="18"/>
        <v>0</v>
      </c>
      <c r="J62" s="94">
        <f t="shared" si="18"/>
        <v>28130.2879302149</v>
      </c>
      <c r="K62" s="94">
        <f t="shared" si="18"/>
        <v>2218.3978595689387</v>
      </c>
      <c r="L62" s="94">
        <f t="shared" si="18"/>
        <v>0</v>
      </c>
      <c r="M62" s="94">
        <f t="shared" si="18"/>
        <v>65601.19384725278</v>
      </c>
      <c r="N62" s="39"/>
      <c r="O62" s="39"/>
      <c r="P62" s="58"/>
    </row>
    <row r="63" spans="2:16" ht="22.5" customHeight="1">
      <c r="B63" s="190" t="s">
        <v>91</v>
      </c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38"/>
      <c r="O63" s="38"/>
      <c r="P63" s="58"/>
    </row>
    <row r="64" spans="2:16" ht="15.75">
      <c r="B64" s="95"/>
      <c r="C64" s="89" t="s">
        <v>92</v>
      </c>
      <c r="D64" s="89" t="s">
        <v>93</v>
      </c>
      <c r="E64" s="90">
        <v>1</v>
      </c>
      <c r="F64" s="90">
        <v>1</v>
      </c>
      <c r="G64" s="91">
        <v>253.48</v>
      </c>
      <c r="H64" s="91">
        <v>28413.78</v>
      </c>
      <c r="I64" s="91">
        <v>0</v>
      </c>
      <c r="J64" s="91">
        <v>241.31</v>
      </c>
      <c r="K64" s="91">
        <v>1011.8</v>
      </c>
      <c r="L64" s="91"/>
      <c r="M64" s="91">
        <v>29971.07</v>
      </c>
      <c r="N64" s="38">
        <f t="shared" si="1"/>
        <v>0.5809697991781034</v>
      </c>
      <c r="O64" s="38">
        <f>N64*1.18</f>
        <v>0.685544363030162</v>
      </c>
      <c r="P64" s="188">
        <f>SUM(O64:O71)</f>
        <v>0.7503206631192334</v>
      </c>
    </row>
    <row r="65" spans="2:16" ht="24">
      <c r="B65" s="88">
        <v>46</v>
      </c>
      <c r="C65" s="89" t="s">
        <v>94</v>
      </c>
      <c r="D65" s="89" t="s">
        <v>95</v>
      </c>
      <c r="E65" s="90">
        <v>2</v>
      </c>
      <c r="F65" s="90">
        <v>4</v>
      </c>
      <c r="G65" s="91">
        <f>20.18952*E65*F65</f>
        <v>161.51616</v>
      </c>
      <c r="H65" s="91">
        <f aca="true" t="shared" si="19" ref="H65:H71">0*E65*F65</f>
        <v>0</v>
      </c>
      <c r="I65" s="91">
        <f aca="true" t="shared" si="20" ref="I65:I71">0*E65*F65</f>
        <v>0</v>
      </c>
      <c r="J65" s="91">
        <f>16.93900728*E65*F65</f>
        <v>135.51205824</v>
      </c>
      <c r="K65" s="91">
        <f>1.2994984548*E65*F65</f>
        <v>10.3959876384</v>
      </c>
      <c r="L65" s="91"/>
      <c r="M65" s="91">
        <f aca="true" t="shared" si="21" ref="M65:M71">SUM(G65:L65)</f>
        <v>307.4242058784</v>
      </c>
      <c r="N65" s="38">
        <f t="shared" si="1"/>
        <v>0.005959219312212142</v>
      </c>
      <c r="O65" s="38">
        <f aca="true" t="shared" si="22" ref="O65:O71">N65*1.18</f>
        <v>0.0070318787884103276</v>
      </c>
      <c r="P65" s="189"/>
    </row>
    <row r="66" spans="2:16" ht="24">
      <c r="B66" s="88">
        <v>47</v>
      </c>
      <c r="C66" s="89" t="s">
        <v>96</v>
      </c>
      <c r="D66" s="89" t="s">
        <v>95</v>
      </c>
      <c r="E66" s="90">
        <v>1</v>
      </c>
      <c r="F66" s="90">
        <v>1</v>
      </c>
      <c r="G66" s="91">
        <f>33.6492*E66*F66</f>
        <v>33.6492</v>
      </c>
      <c r="H66" s="91">
        <f t="shared" si="19"/>
        <v>0</v>
      </c>
      <c r="I66" s="91">
        <f t="shared" si="20"/>
        <v>0</v>
      </c>
      <c r="J66" s="91">
        <f>28.2316788*E66*F66</f>
        <v>28.2316788</v>
      </c>
      <c r="K66" s="91">
        <f>2.165830758*E66*F66</f>
        <v>2.165830758</v>
      </c>
      <c r="L66" s="91"/>
      <c r="M66" s="91">
        <f t="shared" si="21"/>
        <v>64.046709558</v>
      </c>
      <c r="N66" s="38">
        <f t="shared" si="1"/>
        <v>0.0012415040233775298</v>
      </c>
      <c r="O66" s="38">
        <f t="shared" si="22"/>
        <v>0.001464974747585485</v>
      </c>
      <c r="P66" s="189"/>
    </row>
    <row r="67" spans="2:16" ht="24">
      <c r="B67" s="88">
        <v>48</v>
      </c>
      <c r="C67" s="89" t="s">
        <v>97</v>
      </c>
      <c r="D67" s="89" t="s">
        <v>98</v>
      </c>
      <c r="E67" s="90">
        <v>1</v>
      </c>
      <c r="F67" s="90">
        <v>12</v>
      </c>
      <c r="G67" s="91">
        <f>20.18952*E67*F67</f>
        <v>242.27424000000002</v>
      </c>
      <c r="H67" s="91">
        <f t="shared" si="19"/>
        <v>0</v>
      </c>
      <c r="I67" s="91">
        <f t="shared" si="20"/>
        <v>0</v>
      </c>
      <c r="J67" s="91">
        <f>16.93900728*E67*F67</f>
        <v>203.26808735999998</v>
      </c>
      <c r="K67" s="91">
        <f>1.2994984548*E67*F67</f>
        <v>15.593981457599998</v>
      </c>
      <c r="L67" s="91"/>
      <c r="M67" s="91">
        <f t="shared" si="21"/>
        <v>461.1363088176</v>
      </c>
      <c r="N67" s="38">
        <f t="shared" si="1"/>
        <v>0.008938828968318213</v>
      </c>
      <c r="O67" s="38">
        <f t="shared" si="22"/>
        <v>0.010547818182615491</v>
      </c>
      <c r="P67" s="189"/>
    </row>
    <row r="68" spans="2:16" ht="24">
      <c r="B68" s="88">
        <v>49</v>
      </c>
      <c r="C68" s="89" t="s">
        <v>96</v>
      </c>
      <c r="D68" s="89" t="s">
        <v>99</v>
      </c>
      <c r="E68" s="90">
        <v>1</v>
      </c>
      <c r="F68" s="90">
        <v>1</v>
      </c>
      <c r="G68" s="91">
        <f>33.6492*E68*F68</f>
        <v>33.6492</v>
      </c>
      <c r="H68" s="91">
        <f t="shared" si="19"/>
        <v>0</v>
      </c>
      <c r="I68" s="91">
        <f t="shared" si="20"/>
        <v>0</v>
      </c>
      <c r="J68" s="91">
        <f>28.2316788*E68*F68</f>
        <v>28.2316788</v>
      </c>
      <c r="K68" s="91">
        <f>2.165830758*E68*F68</f>
        <v>2.165830758</v>
      </c>
      <c r="L68" s="91"/>
      <c r="M68" s="91">
        <f t="shared" si="21"/>
        <v>64.046709558</v>
      </c>
      <c r="N68" s="38">
        <f t="shared" si="1"/>
        <v>0.0012415040233775298</v>
      </c>
      <c r="O68" s="38">
        <f t="shared" si="22"/>
        <v>0.001464974747585485</v>
      </c>
      <c r="P68" s="189"/>
    </row>
    <row r="69" spans="2:16" ht="24">
      <c r="B69" s="88">
        <v>50</v>
      </c>
      <c r="C69" s="89" t="s">
        <v>100</v>
      </c>
      <c r="D69" s="89" t="s">
        <v>99</v>
      </c>
      <c r="E69" s="90">
        <v>1</v>
      </c>
      <c r="F69" s="90">
        <v>1</v>
      </c>
      <c r="G69" s="91">
        <f>108.51867*E69*F69</f>
        <v>108.51867</v>
      </c>
      <c r="H69" s="91">
        <f t="shared" si="19"/>
        <v>0</v>
      </c>
      <c r="I69" s="91">
        <f t="shared" si="20"/>
        <v>0</v>
      </c>
      <c r="J69" s="91">
        <f>91.04716413*E69*F69</f>
        <v>91.04716413</v>
      </c>
      <c r="K69" s="91">
        <f>6.98480419455*E69*F69</f>
        <v>6.98480419455</v>
      </c>
      <c r="L69" s="91"/>
      <c r="M69" s="91">
        <f t="shared" si="21"/>
        <v>206.55063832455</v>
      </c>
      <c r="N69" s="38">
        <f t="shared" si="1"/>
        <v>0.004003850475392532</v>
      </c>
      <c r="O69" s="38">
        <f t="shared" si="22"/>
        <v>0.004724543560963188</v>
      </c>
      <c r="P69" s="189"/>
    </row>
    <row r="70" spans="2:16" ht="12">
      <c r="B70" s="88">
        <v>51</v>
      </c>
      <c r="C70" s="89" t="s">
        <v>101</v>
      </c>
      <c r="D70" s="89" t="s">
        <v>98</v>
      </c>
      <c r="E70" s="90">
        <v>1</v>
      </c>
      <c r="F70" s="90">
        <v>6</v>
      </c>
      <c r="G70" s="91">
        <f>126.1845*E70*F70</f>
        <v>757.107</v>
      </c>
      <c r="H70" s="91">
        <f t="shared" si="19"/>
        <v>0</v>
      </c>
      <c r="I70" s="91">
        <f t="shared" si="20"/>
        <v>0</v>
      </c>
      <c r="J70" s="91">
        <f>105.8687955*E70*F70</f>
        <v>635.212773</v>
      </c>
      <c r="K70" s="91">
        <f>8.1218653425*E70*F70</f>
        <v>48.731192054999994</v>
      </c>
      <c r="L70" s="91"/>
      <c r="M70" s="91">
        <f t="shared" si="21"/>
        <v>1441.050965055</v>
      </c>
      <c r="N70" s="38">
        <f t="shared" si="1"/>
        <v>0.027933840525994416</v>
      </c>
      <c r="O70" s="38">
        <f t="shared" si="22"/>
        <v>0.03296193182067341</v>
      </c>
      <c r="P70" s="189"/>
    </row>
    <row r="71" spans="2:16" ht="12">
      <c r="B71" s="88">
        <v>52</v>
      </c>
      <c r="C71" s="89" t="s">
        <v>102</v>
      </c>
      <c r="D71" s="89" t="s">
        <v>98</v>
      </c>
      <c r="E71" s="90">
        <v>1</v>
      </c>
      <c r="F71" s="90">
        <v>1</v>
      </c>
      <c r="G71" s="91">
        <f>151.14099*E71*F71</f>
        <v>151.14099</v>
      </c>
      <c r="H71" s="91">
        <f t="shared" si="19"/>
        <v>0</v>
      </c>
      <c r="I71" s="91">
        <f t="shared" si="20"/>
        <v>0</v>
      </c>
      <c r="J71" s="91">
        <f>126.80729061*E71*F71</f>
        <v>126.80729061</v>
      </c>
      <c r="K71" s="91">
        <f>9.72818982135*E71*F71</f>
        <v>9.72818982135</v>
      </c>
      <c r="L71" s="91"/>
      <c r="M71" s="91">
        <f t="shared" si="21"/>
        <v>287.67647043134997</v>
      </c>
      <c r="N71" s="38">
        <f aca="true" t="shared" si="23" ref="N71:N97">M71/12/4299</f>
        <v>0.005576422238337404</v>
      </c>
      <c r="O71" s="38">
        <f t="shared" si="22"/>
        <v>0.006580178241238136</v>
      </c>
      <c r="P71" s="189"/>
    </row>
    <row r="72" spans="2:16" ht="12">
      <c r="B72" s="88"/>
      <c r="C72" s="92" t="s">
        <v>337</v>
      </c>
      <c r="D72" s="97"/>
      <c r="E72" s="98"/>
      <c r="F72" s="98"/>
      <c r="G72" s="99">
        <f aca="true" t="shared" si="24" ref="G72:M72">SUM(G64:G71)</f>
        <v>1741.3354599999998</v>
      </c>
      <c r="H72" s="99">
        <f t="shared" si="24"/>
        <v>28413.78</v>
      </c>
      <c r="I72" s="99">
        <f t="shared" si="24"/>
        <v>0</v>
      </c>
      <c r="J72" s="99">
        <f t="shared" si="24"/>
        <v>1489.6207309400002</v>
      </c>
      <c r="K72" s="99">
        <f t="shared" si="24"/>
        <v>1107.5658166829</v>
      </c>
      <c r="L72" s="99">
        <f t="shared" si="24"/>
        <v>0</v>
      </c>
      <c r="M72" s="99">
        <f t="shared" si="24"/>
        <v>32803.0020076229</v>
      </c>
      <c r="N72" s="40"/>
      <c r="O72" s="40"/>
      <c r="P72" s="58"/>
    </row>
    <row r="73" spans="2:16" ht="12.75" customHeight="1">
      <c r="B73" s="88"/>
      <c r="C73" s="191" t="s">
        <v>103</v>
      </c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38"/>
      <c r="O73" s="38"/>
      <c r="P73" s="58"/>
    </row>
    <row r="74" spans="2:16" ht="24">
      <c r="B74" s="88">
        <v>37</v>
      </c>
      <c r="C74" s="89" t="s">
        <v>104</v>
      </c>
      <c r="D74" s="89" t="s">
        <v>105</v>
      </c>
      <c r="E74" s="90">
        <v>4.299</v>
      </c>
      <c r="F74" s="90">
        <v>2</v>
      </c>
      <c r="G74" s="91">
        <f>471.0888*E74*F74</f>
        <v>4050.4215024000005</v>
      </c>
      <c r="H74" s="91">
        <f>0*E74*F74</f>
        <v>0</v>
      </c>
      <c r="I74" s="91">
        <f>0*E74*F74</f>
        <v>0</v>
      </c>
      <c r="J74" s="91">
        <f>395.2435032*E74*F74</f>
        <v>3398.3036405136004</v>
      </c>
      <c r="K74" s="91">
        <f>30.321630612*E74*F74</f>
        <v>260.70538000197604</v>
      </c>
      <c r="L74" s="91"/>
      <c r="M74" s="91">
        <f>SUM(G74:L74)</f>
        <v>7709.430522915577</v>
      </c>
      <c r="N74" s="38">
        <f t="shared" si="23"/>
        <v>0.14944232230200002</v>
      </c>
      <c r="O74" s="38">
        <f>N74*1.18</f>
        <v>0.17634194031636002</v>
      </c>
      <c r="P74" s="59">
        <f>O74</f>
        <v>0.17634194031636002</v>
      </c>
    </row>
    <row r="75" spans="2:16" ht="18" customHeight="1">
      <c r="B75" s="88"/>
      <c r="C75" s="92" t="s">
        <v>337</v>
      </c>
      <c r="D75" s="93"/>
      <c r="E75" s="92"/>
      <c r="F75" s="92"/>
      <c r="G75" s="94">
        <f aca="true" t="shared" si="25" ref="G75:M75">SUM(G74)</f>
        <v>4050.4215024000005</v>
      </c>
      <c r="H75" s="94">
        <f t="shared" si="25"/>
        <v>0</v>
      </c>
      <c r="I75" s="94">
        <f t="shared" si="25"/>
        <v>0</v>
      </c>
      <c r="J75" s="94">
        <f t="shared" si="25"/>
        <v>3398.3036405136004</v>
      </c>
      <c r="K75" s="94">
        <f t="shared" si="25"/>
        <v>260.70538000197604</v>
      </c>
      <c r="L75" s="94">
        <f t="shared" si="25"/>
        <v>0</v>
      </c>
      <c r="M75" s="94">
        <f t="shared" si="25"/>
        <v>7709.430522915577</v>
      </c>
      <c r="N75" s="39"/>
      <c r="O75" s="39"/>
      <c r="P75" s="58"/>
    </row>
    <row r="76" spans="2:16" ht="15.75">
      <c r="B76" s="190" t="s">
        <v>106</v>
      </c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38"/>
      <c r="O76" s="38"/>
      <c r="P76" s="58"/>
    </row>
    <row r="77" spans="2:16" ht="60">
      <c r="B77" s="88">
        <v>53</v>
      </c>
      <c r="C77" s="89" t="s">
        <v>107</v>
      </c>
      <c r="D77" s="89" t="s">
        <v>108</v>
      </c>
      <c r="E77" s="90">
        <v>4.299</v>
      </c>
      <c r="F77" s="90">
        <v>6</v>
      </c>
      <c r="G77" s="91">
        <f>1113.829014*E77*F77</f>
        <v>28730.105587116</v>
      </c>
      <c r="H77" s="91">
        <f>0*E77*F77</f>
        <v>0</v>
      </c>
      <c r="I77" s="91">
        <f>0*E77*F77</f>
        <v>0</v>
      </c>
      <c r="J77" s="91">
        <f>934.502542746*E77*F77</f>
        <v>24104.558587590327</v>
      </c>
      <c r="K77" s="91">
        <f>71.69160448611*E77*F77</f>
        <v>1849.2132461147214</v>
      </c>
      <c r="L77" s="91"/>
      <c r="M77" s="91">
        <f>SUM(G77:L77)</f>
        <v>54683.877420821045</v>
      </c>
      <c r="N77" s="38">
        <f t="shared" si="23"/>
        <v>1.0600115806160548</v>
      </c>
      <c r="O77" s="38">
        <f>N77*1.18</f>
        <v>1.2508136651269446</v>
      </c>
      <c r="P77" s="59">
        <f>O77</f>
        <v>1.2508136651269446</v>
      </c>
    </row>
    <row r="78" spans="2:16" ht="19.5" customHeight="1">
      <c r="B78" s="88"/>
      <c r="C78" s="92" t="s">
        <v>337</v>
      </c>
      <c r="D78" s="93"/>
      <c r="E78" s="92"/>
      <c r="F78" s="92"/>
      <c r="G78" s="94">
        <f aca="true" t="shared" si="26" ref="G78:M78">SUM(G77)</f>
        <v>28730.105587116</v>
      </c>
      <c r="H78" s="94">
        <f t="shared" si="26"/>
        <v>0</v>
      </c>
      <c r="I78" s="94">
        <f t="shared" si="26"/>
        <v>0</v>
      </c>
      <c r="J78" s="94">
        <f t="shared" si="26"/>
        <v>24104.558587590327</v>
      </c>
      <c r="K78" s="94">
        <f t="shared" si="26"/>
        <v>1849.2132461147214</v>
      </c>
      <c r="L78" s="94">
        <f t="shared" si="26"/>
        <v>0</v>
      </c>
      <c r="M78" s="94">
        <f t="shared" si="26"/>
        <v>54683.877420821045</v>
      </c>
      <c r="N78" s="39"/>
      <c r="O78" s="39"/>
      <c r="P78" s="58"/>
    </row>
    <row r="79" spans="2:16" ht="21" customHeight="1">
      <c r="B79" s="88"/>
      <c r="C79" s="191" t="s">
        <v>109</v>
      </c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38"/>
      <c r="O79" s="38"/>
      <c r="P79" s="58"/>
    </row>
    <row r="80" spans="2:16" ht="36">
      <c r="B80" s="88">
        <v>54</v>
      </c>
      <c r="C80" s="89" t="s">
        <v>110</v>
      </c>
      <c r="D80" s="89" t="s">
        <v>111</v>
      </c>
      <c r="E80" s="90">
        <v>1.333</v>
      </c>
      <c r="F80" s="90">
        <v>52</v>
      </c>
      <c r="G80" s="91">
        <f>119.45465966351*E80*F80</f>
        <v>8280.119189235858</v>
      </c>
      <c r="H80" s="91">
        <f>3.5065817822*E80*F80</f>
        <v>243.0622228149752</v>
      </c>
      <c r="I80" s="91">
        <f>0*E80*F80</f>
        <v>0</v>
      </c>
      <c r="J80" s="91">
        <f>100.22245945768*E80*F80</f>
        <v>6947.019999768547</v>
      </c>
      <c r="K80" s="91">
        <f>7.8114295316187*E80*F80</f>
        <v>541.4570494136817</v>
      </c>
      <c r="L80" s="91"/>
      <c r="M80" s="91">
        <f>SUM(G80:L80)</f>
        <v>16011.658461233063</v>
      </c>
      <c r="N80" s="38">
        <f t="shared" si="23"/>
        <v>0.31037563893217535</v>
      </c>
      <c r="O80" s="38">
        <f>N80*1.18</f>
        <v>0.3662432539399669</v>
      </c>
      <c r="P80" s="188">
        <f>SUM(O80:O84)</f>
        <v>1.239487984710568</v>
      </c>
    </row>
    <row r="81" spans="2:16" ht="36">
      <c r="B81" s="88">
        <v>55</v>
      </c>
      <c r="C81" s="89" t="s">
        <v>112</v>
      </c>
      <c r="D81" s="89" t="s">
        <v>111</v>
      </c>
      <c r="E81" s="90">
        <v>2.55</v>
      </c>
      <c r="F81" s="90">
        <v>12</v>
      </c>
      <c r="G81" s="91">
        <f>104.31251966351*E81*F81</f>
        <v>3191.963101703406</v>
      </c>
      <c r="H81" s="91">
        <f>3.425170315651*E81*F81</f>
        <v>104.8102116589206</v>
      </c>
      <c r="I81" s="91">
        <f>0*E81*F81</f>
        <v>0</v>
      </c>
      <c r="J81" s="91">
        <f>87.518203997683*E81*F81</f>
        <v>2678.0570423290997</v>
      </c>
      <c r="K81" s="91">
        <f>6.8339562891895*E81*F81</f>
        <v>209.11906244919868</v>
      </c>
      <c r="L81" s="91"/>
      <c r="M81" s="91">
        <f>SUM(G81:L81)</f>
        <v>6183.949418140625</v>
      </c>
      <c r="N81" s="38">
        <f t="shared" si="23"/>
        <v>0.11987185814803104</v>
      </c>
      <c r="O81" s="38">
        <f>N81*1.18</f>
        <v>0.14144879261467663</v>
      </c>
      <c r="P81" s="189"/>
    </row>
    <row r="82" spans="2:16" ht="24">
      <c r="B82" s="88">
        <v>56</v>
      </c>
      <c r="C82" s="89" t="s">
        <v>113</v>
      </c>
      <c r="D82" s="89" t="s">
        <v>111</v>
      </c>
      <c r="E82" s="90">
        <v>1.333</v>
      </c>
      <c r="F82" s="90">
        <v>12</v>
      </c>
      <c r="G82" s="91">
        <f>153.10386033649*E82*F82</f>
        <v>2449.049349942494</v>
      </c>
      <c r="H82" s="91">
        <f>56.105556816197*E82*F82</f>
        <v>897.4644868318871</v>
      </c>
      <c r="I82" s="91">
        <f>0*E82*F82</f>
        <v>0</v>
      </c>
      <c r="J82" s="91">
        <f>128.45413882232*E82*F82</f>
        <v>2054.7524046018307</v>
      </c>
      <c r="K82" s="91">
        <f>11.818224459125*E82*F82</f>
        <v>189.0443184481635</v>
      </c>
      <c r="L82" s="91"/>
      <c r="M82" s="91">
        <f>SUM(G82:L82)</f>
        <v>5590.310559824376</v>
      </c>
      <c r="N82" s="38">
        <f t="shared" si="23"/>
        <v>0.1083645529934166</v>
      </c>
      <c r="O82" s="38">
        <f>N82*1.18</f>
        <v>0.1278701725322316</v>
      </c>
      <c r="P82" s="189"/>
    </row>
    <row r="83" spans="2:16" ht="24">
      <c r="B83" s="88">
        <v>57</v>
      </c>
      <c r="C83" s="89" t="s">
        <v>114</v>
      </c>
      <c r="D83" s="89" t="s">
        <v>111</v>
      </c>
      <c r="E83" s="90">
        <v>2.55</v>
      </c>
      <c r="F83" s="90">
        <v>12</v>
      </c>
      <c r="G83" s="91">
        <f>131.23188*E83*F83</f>
        <v>4015.6955279999993</v>
      </c>
      <c r="H83" s="91">
        <f>53.945101380373*E83*F83</f>
        <v>1650.7201022394138</v>
      </c>
      <c r="I83" s="91">
        <f>0*E83*F83</f>
        <v>0</v>
      </c>
      <c r="J83" s="91">
        <f>110.10354732*E83*F83</f>
        <v>3369.168547992</v>
      </c>
      <c r="K83" s="91">
        <f>10.334818504513*E83*F83</f>
        <v>316.24544623809777</v>
      </c>
      <c r="L83" s="91"/>
      <c r="M83" s="91">
        <f>SUM(G83:L83)</f>
        <v>9351.82962446951</v>
      </c>
      <c r="N83" s="38">
        <f t="shared" si="23"/>
        <v>0.18127916617177464</v>
      </c>
      <c r="O83" s="38">
        <f>N83*1.18</f>
        <v>0.21390941608269406</v>
      </c>
      <c r="P83" s="189"/>
    </row>
    <row r="84" spans="2:16" ht="36">
      <c r="B84" s="88">
        <v>58</v>
      </c>
      <c r="C84" s="89" t="s">
        <v>115</v>
      </c>
      <c r="D84" s="89" t="s">
        <v>116</v>
      </c>
      <c r="E84" s="90">
        <v>7</v>
      </c>
      <c r="F84" s="90">
        <v>1</v>
      </c>
      <c r="G84" s="91">
        <f>1277.27568*E84*F84</f>
        <v>8940.929759999999</v>
      </c>
      <c r="H84" s="91">
        <f>4.573249628969*E84*F84</f>
        <v>32.012747402783</v>
      </c>
      <c r="I84" s="91">
        <f>0*E84*F84</f>
        <v>0</v>
      </c>
      <c r="J84" s="91">
        <f>1071.63429552*E84*F84</f>
        <v>7501.44006864</v>
      </c>
      <c r="K84" s="91">
        <f>82.371912880214*E84*F84</f>
        <v>576.6033901614979</v>
      </c>
      <c r="L84" s="91"/>
      <c r="M84" s="91">
        <f>SUM(G84:L84)</f>
        <v>17050.98596620428</v>
      </c>
      <c r="N84" s="38">
        <f t="shared" si="23"/>
        <v>0.33052233011949056</v>
      </c>
      <c r="O84" s="38">
        <f>N84*1.18</f>
        <v>0.39001634954099884</v>
      </c>
      <c r="P84" s="189"/>
    </row>
    <row r="85" spans="2:16" ht="21" customHeight="1">
      <c r="B85" s="88"/>
      <c r="C85" s="92" t="s">
        <v>337</v>
      </c>
      <c r="D85" s="93"/>
      <c r="E85" s="92"/>
      <c r="F85" s="92"/>
      <c r="G85" s="94">
        <f aca="true" t="shared" si="27" ref="G85:M85">SUM(G80:G84)</f>
        <v>26877.756928881758</v>
      </c>
      <c r="H85" s="94">
        <f t="shared" si="27"/>
        <v>2928.06977094798</v>
      </c>
      <c r="I85" s="94">
        <f t="shared" si="27"/>
        <v>0</v>
      </c>
      <c r="J85" s="94">
        <f t="shared" si="27"/>
        <v>22550.43806333148</v>
      </c>
      <c r="K85" s="94">
        <f t="shared" si="27"/>
        <v>1832.4692667106397</v>
      </c>
      <c r="L85" s="94">
        <f t="shared" si="27"/>
        <v>0</v>
      </c>
      <c r="M85" s="94">
        <f t="shared" si="27"/>
        <v>54188.734029871855</v>
      </c>
      <c r="N85" s="39"/>
      <c r="O85" s="39"/>
      <c r="P85" s="58"/>
    </row>
    <row r="86" spans="2:16" ht="19.5" customHeight="1">
      <c r="B86" s="88"/>
      <c r="C86" s="191" t="s">
        <v>117</v>
      </c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38"/>
      <c r="O86" s="38"/>
      <c r="P86" s="58"/>
    </row>
    <row r="87" spans="2:16" ht="24">
      <c r="B87" s="88">
        <v>59</v>
      </c>
      <c r="C87" s="89" t="s">
        <v>118</v>
      </c>
      <c r="D87" s="89" t="s">
        <v>119</v>
      </c>
      <c r="E87" s="90">
        <v>0.352</v>
      </c>
      <c r="F87" s="90">
        <v>144</v>
      </c>
      <c r="G87" s="91">
        <f>79.1749*E87*F87</f>
        <v>4013.2173311999995</v>
      </c>
      <c r="H87" s="91">
        <f>3.432912*E87*F87</f>
        <v>174.00744345599998</v>
      </c>
      <c r="I87" s="91">
        <f aca="true" t="shared" si="28" ref="I87:I92">0*E87*F87</f>
        <v>0</v>
      </c>
      <c r="J87" s="91">
        <f>66.4277411*E87*F87</f>
        <v>3367.0893408767997</v>
      </c>
      <c r="K87" s="91">
        <f>5.2162443585*E87*F87</f>
        <v>264.400994043648</v>
      </c>
      <c r="L87" s="91"/>
      <c r="M87" s="91">
        <f aca="true" t="shared" si="29" ref="M87:M97">SUM(G87:L87)</f>
        <v>7818.7151095764475</v>
      </c>
      <c r="N87" s="38">
        <f t="shared" si="23"/>
        <v>0.15156073330186182</v>
      </c>
      <c r="O87" s="38">
        <f aca="true" t="shared" si="30" ref="O87:O106">N87*1.18</f>
        <v>0.17884166529619694</v>
      </c>
      <c r="P87" s="188">
        <f>SUM(O87:O97)</f>
        <v>2.2732759847242967</v>
      </c>
    </row>
    <row r="88" spans="2:16" ht="24">
      <c r="B88" s="88">
        <v>60</v>
      </c>
      <c r="C88" s="89" t="s">
        <v>120</v>
      </c>
      <c r="D88" s="89" t="s">
        <v>119</v>
      </c>
      <c r="E88" s="90">
        <v>0.605</v>
      </c>
      <c r="F88" s="90">
        <v>144</v>
      </c>
      <c r="G88" s="91">
        <f>99.4151*E88*F88</f>
        <v>8661.043511999998</v>
      </c>
      <c r="H88" s="91">
        <f>3.812522*E88*F88</f>
        <v>332.14691664</v>
      </c>
      <c r="I88" s="91">
        <f t="shared" si="28"/>
        <v>0</v>
      </c>
      <c r="J88" s="91">
        <f>83.4092689*E88*F88</f>
        <v>7266.615506568</v>
      </c>
      <c r="K88" s="91">
        <f>6.5322911815*E88*F88</f>
        <v>569.09320773228</v>
      </c>
      <c r="L88" s="91"/>
      <c r="M88" s="91">
        <f t="shared" si="29"/>
        <v>16828.899142940278</v>
      </c>
      <c r="N88" s="38">
        <f t="shared" si="23"/>
        <v>0.3262173207517306</v>
      </c>
      <c r="O88" s="38">
        <f t="shared" si="30"/>
        <v>0.38493643848704207</v>
      </c>
      <c r="P88" s="189"/>
    </row>
    <row r="89" spans="2:16" ht="24">
      <c r="B89" s="88">
        <v>61</v>
      </c>
      <c r="C89" s="89" t="s">
        <v>121</v>
      </c>
      <c r="D89" s="89" t="s">
        <v>119</v>
      </c>
      <c r="E89" s="90">
        <v>0.366</v>
      </c>
      <c r="F89" s="90">
        <v>144</v>
      </c>
      <c r="G89" s="91">
        <f>119.06*E89*F89</f>
        <v>6274.93824</v>
      </c>
      <c r="H89" s="91">
        <f>4.860555*E89*F89</f>
        <v>256.17069072</v>
      </c>
      <c r="I89" s="91">
        <f t="shared" si="28"/>
        <v>0</v>
      </c>
      <c r="J89" s="91">
        <f>99.89134*E89*F89</f>
        <v>5264.67318336</v>
      </c>
      <c r="K89" s="91">
        <f>7.833416325*E89*F89</f>
        <v>412.85237399280004</v>
      </c>
      <c r="L89" s="91"/>
      <c r="M89" s="91">
        <f t="shared" si="29"/>
        <v>12208.634488072801</v>
      </c>
      <c r="N89" s="38">
        <f t="shared" si="23"/>
        <v>0.23665647995799027</v>
      </c>
      <c r="O89" s="38">
        <f t="shared" si="30"/>
        <v>0.2792546463504285</v>
      </c>
      <c r="P89" s="189"/>
    </row>
    <row r="90" spans="2:16" ht="24">
      <c r="B90" s="88">
        <v>62</v>
      </c>
      <c r="C90" s="89" t="s">
        <v>122</v>
      </c>
      <c r="D90" s="89" t="s">
        <v>119</v>
      </c>
      <c r="E90" s="90">
        <v>0.135</v>
      </c>
      <c r="F90" s="90">
        <v>144</v>
      </c>
      <c r="G90" s="91">
        <f>108.9399*E90*F90</f>
        <v>2117.791656</v>
      </c>
      <c r="H90" s="91">
        <f>4.480945*E90*F90</f>
        <v>87.1095708</v>
      </c>
      <c r="I90" s="91">
        <f t="shared" si="28"/>
        <v>0</v>
      </c>
      <c r="J90" s="91">
        <f>91.4005761*E90*F90</f>
        <v>1776.8271993839999</v>
      </c>
      <c r="K90" s="91">
        <f>7.1687497385*E90*F90</f>
        <v>139.36049491644</v>
      </c>
      <c r="L90" s="91"/>
      <c r="M90" s="91">
        <f t="shared" si="29"/>
        <v>4121.08892110044</v>
      </c>
      <c r="N90" s="38">
        <f t="shared" si="23"/>
        <v>0.07988464218617584</v>
      </c>
      <c r="O90" s="38">
        <f t="shared" si="30"/>
        <v>0.09426387777968749</v>
      </c>
      <c r="P90" s="189"/>
    </row>
    <row r="91" spans="2:16" ht="24">
      <c r="B91" s="88">
        <v>63</v>
      </c>
      <c r="C91" s="89" t="s">
        <v>123</v>
      </c>
      <c r="D91" s="89" t="s">
        <v>119</v>
      </c>
      <c r="E91" s="90">
        <v>0.102</v>
      </c>
      <c r="F91" s="90">
        <v>144</v>
      </c>
      <c r="G91" s="91">
        <f>129.1801*E91*F91</f>
        <v>1897.3973088000002</v>
      </c>
      <c r="H91" s="91">
        <f>5.528978*E91*F91</f>
        <v>81.20962886400001</v>
      </c>
      <c r="I91" s="91">
        <f t="shared" si="28"/>
        <v>0</v>
      </c>
      <c r="J91" s="91">
        <f>108.3821039*E91*F91</f>
        <v>1591.9163420831999</v>
      </c>
      <c r="K91" s="91">
        <f>8.5081913665*E91*F91</f>
        <v>124.968314791152</v>
      </c>
      <c r="L91" s="91"/>
      <c r="M91" s="91">
        <f t="shared" si="29"/>
        <v>3695.491594538352</v>
      </c>
      <c r="N91" s="38">
        <f t="shared" si="23"/>
        <v>0.07163471339339288</v>
      </c>
      <c r="O91" s="38">
        <f t="shared" si="30"/>
        <v>0.08452896180420359</v>
      </c>
      <c r="P91" s="189"/>
    </row>
    <row r="92" spans="2:16" ht="12">
      <c r="B92" s="88">
        <v>64</v>
      </c>
      <c r="C92" s="89" t="s">
        <v>124</v>
      </c>
      <c r="D92" s="89" t="s">
        <v>125</v>
      </c>
      <c r="E92" s="90">
        <v>0.023</v>
      </c>
      <c r="F92" s="90">
        <v>52</v>
      </c>
      <c r="G92" s="91">
        <f>7639.4849*E92*F92</f>
        <v>9136.8239404</v>
      </c>
      <c r="H92" s="91">
        <f>91.1064*E92*F92</f>
        <v>108.96325439999998</v>
      </c>
      <c r="I92" s="91">
        <f t="shared" si="28"/>
        <v>0</v>
      </c>
      <c r="J92" s="91">
        <f>6409.5278311*E92*F92</f>
        <v>7665.795285995599</v>
      </c>
      <c r="K92" s="91">
        <f>494.9041695885*E92*F92</f>
        <v>591.905386827846</v>
      </c>
      <c r="L92" s="91"/>
      <c r="M92" s="91">
        <f t="shared" si="29"/>
        <v>17503.487867623444</v>
      </c>
      <c r="N92" s="38">
        <f t="shared" si="23"/>
        <v>0.33929378668728083</v>
      </c>
      <c r="O92" s="38">
        <f t="shared" si="30"/>
        <v>0.4003666682909914</v>
      </c>
      <c r="P92" s="189"/>
    </row>
    <row r="93" spans="2:16" ht="12">
      <c r="B93" s="88">
        <v>65</v>
      </c>
      <c r="C93" s="89" t="s">
        <v>126</v>
      </c>
      <c r="D93" s="89" t="s">
        <v>127</v>
      </c>
      <c r="E93" s="90">
        <v>22.519</v>
      </c>
      <c r="F93" s="90">
        <v>3</v>
      </c>
      <c r="G93" s="91">
        <f>109.92072*E93*F93</f>
        <v>7425.914081039999</v>
      </c>
      <c r="H93" s="91">
        <f>72.99124896*E93*F93</f>
        <v>4931.069805990719</v>
      </c>
      <c r="I93" s="91">
        <f>65.2428*E93*F93</f>
        <v>4407.607839599999</v>
      </c>
      <c r="J93" s="91">
        <f>92.22348408*E93*F93</f>
        <v>6230.34191399256</v>
      </c>
      <c r="K93" s="91">
        <f>11.9132388564*E93*F93</f>
        <v>804.8226774218148</v>
      </c>
      <c r="L93" s="91"/>
      <c r="M93" s="91">
        <f t="shared" si="29"/>
        <v>23799.756318045092</v>
      </c>
      <c r="N93" s="38">
        <f t="shared" si="23"/>
        <v>0.4613428766000832</v>
      </c>
      <c r="O93" s="38">
        <f t="shared" si="30"/>
        <v>0.5443845943880982</v>
      </c>
      <c r="P93" s="189"/>
    </row>
    <row r="94" spans="2:16" ht="12">
      <c r="B94" s="88">
        <v>66</v>
      </c>
      <c r="C94" s="89" t="s">
        <v>128</v>
      </c>
      <c r="D94" s="89" t="s">
        <v>129</v>
      </c>
      <c r="E94" s="90">
        <v>0.005</v>
      </c>
      <c r="F94" s="90">
        <v>1</v>
      </c>
      <c r="G94" s="91">
        <f>16477.8263*E94*F94</f>
        <v>82.3891315</v>
      </c>
      <c r="H94" s="91">
        <f>0*E94*F94</f>
        <v>0</v>
      </c>
      <c r="I94" s="91">
        <f>176562.1368*E94*F94</f>
        <v>882.810684</v>
      </c>
      <c r="J94" s="91">
        <f>41418.8327077*E94*F94</f>
        <v>207.0941635385</v>
      </c>
      <c r="K94" s="91">
        <f>8206.0578532695*E94*F94</f>
        <v>41.0302892663475</v>
      </c>
      <c r="L94" s="91"/>
      <c r="M94" s="91">
        <f t="shared" si="29"/>
        <v>1213.3242683048477</v>
      </c>
      <c r="N94" s="38">
        <f t="shared" si="23"/>
        <v>0.023519505859983865</v>
      </c>
      <c r="O94" s="38">
        <f t="shared" si="30"/>
        <v>0.027753016914780958</v>
      </c>
      <c r="P94" s="189"/>
    </row>
    <row r="95" spans="2:16" ht="36">
      <c r="B95" s="88">
        <v>67</v>
      </c>
      <c r="C95" s="89" t="s">
        <v>130</v>
      </c>
      <c r="D95" s="89" t="s">
        <v>131</v>
      </c>
      <c r="E95" s="90">
        <v>0.035</v>
      </c>
      <c r="F95" s="90">
        <v>15</v>
      </c>
      <c r="G95" s="91">
        <f>1388.8349*E95*F95</f>
        <v>729.1383225000001</v>
      </c>
      <c r="H95" s="91">
        <f>70.703731*E95*F95</f>
        <v>37.119458775000005</v>
      </c>
      <c r="I95" s="91">
        <f>0*E95*F95</f>
        <v>0</v>
      </c>
      <c r="J95" s="91">
        <f>1165.2324811*E95*F95</f>
        <v>611.7470525775001</v>
      </c>
      <c r="K95" s="91">
        <f>91.8669889235*E95*F95</f>
        <v>48.23016918483751</v>
      </c>
      <c r="L95" s="91"/>
      <c r="M95" s="91">
        <f t="shared" si="29"/>
        <v>1426.2350030373377</v>
      </c>
      <c r="N95" s="38">
        <f t="shared" si="23"/>
        <v>0.027646642688945833</v>
      </c>
      <c r="O95" s="38">
        <f t="shared" si="30"/>
        <v>0.03262303837295608</v>
      </c>
      <c r="P95" s="189"/>
    </row>
    <row r="96" spans="2:16" ht="12">
      <c r="B96" s="88">
        <v>68</v>
      </c>
      <c r="C96" s="89" t="s">
        <v>132</v>
      </c>
      <c r="D96" s="89" t="s">
        <v>133</v>
      </c>
      <c r="E96" s="90">
        <v>0.5</v>
      </c>
      <c r="F96" s="90">
        <v>15</v>
      </c>
      <c r="G96" s="91">
        <f>16.864849*E96*F96</f>
        <v>126.4863675</v>
      </c>
      <c r="H96" s="91">
        <f>680.5035825*E96*F96</f>
        <v>5103.77686875</v>
      </c>
      <c r="I96" s="91">
        <f>0*E96*F96</f>
        <v>0</v>
      </c>
      <c r="J96" s="91">
        <f>14.149608311*E96*F96</f>
        <v>106.1220623325</v>
      </c>
      <c r="K96" s="91">
        <f>24.903131393385*E96*F96</f>
        <v>186.77348545038748</v>
      </c>
      <c r="L96" s="91"/>
      <c r="M96" s="91">
        <f t="shared" si="29"/>
        <v>5523.1587840328875</v>
      </c>
      <c r="N96" s="38">
        <f t="shared" si="23"/>
        <v>0.10706285927023508</v>
      </c>
      <c r="O96" s="38">
        <f t="shared" si="30"/>
        <v>0.1263341739388774</v>
      </c>
      <c r="P96" s="189"/>
    </row>
    <row r="97" spans="2:16" ht="12">
      <c r="B97" s="88">
        <v>69</v>
      </c>
      <c r="C97" s="89" t="s">
        <v>134</v>
      </c>
      <c r="D97" s="89" t="s">
        <v>127</v>
      </c>
      <c r="E97" s="90">
        <v>0.064</v>
      </c>
      <c r="F97" s="90">
        <v>296</v>
      </c>
      <c r="G97" s="91">
        <f>144.6579*E97*F97</f>
        <v>2740.3992576</v>
      </c>
      <c r="H97" s="91">
        <f>1.51844*E97*F97</f>
        <v>28.76532736</v>
      </c>
      <c r="I97" s="91">
        <f>0*E97*F97</f>
        <v>0</v>
      </c>
      <c r="J97" s="91">
        <f>121.3679781*E97*F97</f>
        <v>2299.1949771264003</v>
      </c>
      <c r="K97" s="91">
        <f>9.3640511335*E97*F97</f>
        <v>177.39258467302403</v>
      </c>
      <c r="L97" s="91"/>
      <c r="M97" s="91">
        <f t="shared" si="29"/>
        <v>5245.752146759424</v>
      </c>
      <c r="N97" s="38">
        <f t="shared" si="23"/>
        <v>0.10168551110257083</v>
      </c>
      <c r="O97" s="38">
        <f t="shared" si="30"/>
        <v>0.11998890310103358</v>
      </c>
      <c r="P97" s="189"/>
    </row>
    <row r="98" spans="2:16" ht="20.25" customHeight="1">
      <c r="B98" s="88"/>
      <c r="C98" s="92" t="s">
        <v>337</v>
      </c>
      <c r="D98" s="97"/>
      <c r="E98" s="98"/>
      <c r="F98" s="98"/>
      <c r="G98" s="99">
        <f aca="true" t="shared" si="31" ref="G98:M98">SUM(G87:G97)</f>
        <v>43205.53914854</v>
      </c>
      <c r="H98" s="99">
        <f t="shared" si="31"/>
        <v>11140.33896575572</v>
      </c>
      <c r="I98" s="99">
        <f t="shared" si="31"/>
        <v>5290.418523599999</v>
      </c>
      <c r="J98" s="99">
        <f t="shared" si="31"/>
        <v>36387.41702783505</v>
      </c>
      <c r="K98" s="99">
        <f t="shared" si="31"/>
        <v>3360.8299783005773</v>
      </c>
      <c r="L98" s="99"/>
      <c r="M98" s="100">
        <f t="shared" si="31"/>
        <v>99384.54364403134</v>
      </c>
      <c r="N98" s="40"/>
      <c r="O98" s="40"/>
      <c r="P98" s="58"/>
    </row>
    <row r="99" spans="2:16" ht="24.75" customHeight="1">
      <c r="B99" s="88"/>
      <c r="C99" s="101" t="s">
        <v>343</v>
      </c>
      <c r="D99" s="89"/>
      <c r="E99" s="90"/>
      <c r="F99" s="90"/>
      <c r="G99" s="91"/>
      <c r="H99" s="91"/>
      <c r="I99" s="91"/>
      <c r="J99" s="91"/>
      <c r="K99" s="91"/>
      <c r="L99" s="91"/>
      <c r="M99" s="91"/>
      <c r="N99" s="41"/>
      <c r="O99" s="38"/>
      <c r="P99" s="58"/>
    </row>
    <row r="100" spans="2:16" ht="16.5" customHeight="1">
      <c r="B100" s="88"/>
      <c r="C100" s="89" t="s">
        <v>135</v>
      </c>
      <c r="D100" s="89"/>
      <c r="E100" s="90"/>
      <c r="F100" s="90"/>
      <c r="G100" s="91"/>
      <c r="H100" s="91"/>
      <c r="I100" s="91"/>
      <c r="J100" s="91"/>
      <c r="K100" s="91"/>
      <c r="L100" s="91"/>
      <c r="M100" s="91">
        <f>1.36*4299*12/1.18</f>
        <v>59457.35593220338</v>
      </c>
      <c r="N100" s="41">
        <f>M100/12/4299</f>
        <v>1.152542372881356</v>
      </c>
      <c r="O100" s="38">
        <f t="shared" si="30"/>
        <v>1.3599999999999999</v>
      </c>
      <c r="P100" s="59">
        <f aca="true" t="shared" si="32" ref="P100:P105">O100</f>
        <v>1.3599999999999999</v>
      </c>
    </row>
    <row r="101" spans="2:16" ht="16.5" customHeight="1">
      <c r="B101" s="88"/>
      <c r="C101" s="89" t="s">
        <v>136</v>
      </c>
      <c r="D101" s="89"/>
      <c r="E101" s="90"/>
      <c r="F101" s="90"/>
      <c r="G101" s="91"/>
      <c r="H101" s="91"/>
      <c r="I101" s="91"/>
      <c r="J101" s="91"/>
      <c r="K101" s="91"/>
      <c r="L101" s="91"/>
      <c r="M101" s="91">
        <v>74331.02</v>
      </c>
      <c r="N101" s="41">
        <f>M101/12/4299</f>
        <v>1.4408587268356983</v>
      </c>
      <c r="O101" s="38">
        <f t="shared" si="30"/>
        <v>1.700213297666124</v>
      </c>
      <c r="P101" s="59">
        <f t="shared" si="32"/>
        <v>1.700213297666124</v>
      </c>
    </row>
    <row r="102" spans="2:16" ht="16.5" customHeight="1">
      <c r="B102" s="88"/>
      <c r="C102" s="89" t="s">
        <v>401</v>
      </c>
      <c r="D102" s="89"/>
      <c r="E102" s="90"/>
      <c r="F102" s="90"/>
      <c r="G102" s="91"/>
      <c r="H102" s="91"/>
      <c r="I102" s="91"/>
      <c r="J102" s="91"/>
      <c r="K102" s="91"/>
      <c r="L102" s="91"/>
      <c r="M102" s="91">
        <v>21850</v>
      </c>
      <c r="N102" s="41">
        <f>M102/12/4299</f>
        <v>0.42354811196402264</v>
      </c>
      <c r="O102" s="38">
        <f t="shared" si="30"/>
        <v>0.4997867721175467</v>
      </c>
      <c r="P102" s="59">
        <f t="shared" si="32"/>
        <v>0.4997867721175467</v>
      </c>
    </row>
    <row r="103" spans="2:16" ht="16.5" customHeight="1">
      <c r="B103" s="88"/>
      <c r="C103" s="89" t="s">
        <v>137</v>
      </c>
      <c r="D103" s="89"/>
      <c r="E103" s="90"/>
      <c r="F103" s="90"/>
      <c r="G103" s="91"/>
      <c r="H103" s="91"/>
      <c r="I103" s="91"/>
      <c r="J103" s="91"/>
      <c r="K103" s="91"/>
      <c r="L103" s="91"/>
      <c r="M103" s="91">
        <f>0.14*4299*12/1.18</f>
        <v>6120.610169491525</v>
      </c>
      <c r="N103" s="41">
        <f>M103/12/4299</f>
        <v>0.11864406779661016</v>
      </c>
      <c r="O103" s="38">
        <f t="shared" si="30"/>
        <v>0.13999999999999999</v>
      </c>
      <c r="P103" s="59">
        <f t="shared" si="32"/>
        <v>0.13999999999999999</v>
      </c>
    </row>
    <row r="104" spans="2:16" ht="16.5" customHeight="1">
      <c r="B104" s="88"/>
      <c r="C104" s="89" t="s">
        <v>138</v>
      </c>
      <c r="D104" s="89"/>
      <c r="E104" s="90"/>
      <c r="F104" s="90"/>
      <c r="G104" s="91"/>
      <c r="H104" s="91"/>
      <c r="I104" s="91"/>
      <c r="J104" s="91"/>
      <c r="K104" s="91"/>
      <c r="L104" s="91"/>
      <c r="M104" s="91">
        <f>0.1*4299*12/1.18</f>
        <v>4371.864406779661</v>
      </c>
      <c r="N104" s="41">
        <f>M104/12/4299</f>
        <v>0.08474576271186442</v>
      </c>
      <c r="O104" s="38">
        <f t="shared" si="30"/>
        <v>0.1</v>
      </c>
      <c r="P104" s="59">
        <f t="shared" si="32"/>
        <v>0.1</v>
      </c>
    </row>
    <row r="105" spans="2:16" ht="24.75" customHeight="1" thickBot="1">
      <c r="B105" s="102"/>
      <c r="C105" s="103" t="s">
        <v>339</v>
      </c>
      <c r="D105" s="103"/>
      <c r="E105" s="104"/>
      <c r="F105" s="104"/>
      <c r="G105" s="105"/>
      <c r="H105" s="105"/>
      <c r="I105" s="105"/>
      <c r="J105" s="105"/>
      <c r="K105" s="105"/>
      <c r="L105" s="105"/>
      <c r="M105" s="105">
        <f>N105*12*4299</f>
        <v>39206.880000000005</v>
      </c>
      <c r="N105" s="57">
        <v>0.76</v>
      </c>
      <c r="O105" s="57">
        <f t="shared" si="30"/>
        <v>0.8967999999999999</v>
      </c>
      <c r="P105" s="60">
        <f t="shared" si="32"/>
        <v>0.8967999999999999</v>
      </c>
    </row>
    <row r="106" spans="2:16" ht="25.5" customHeight="1" thickBot="1">
      <c r="B106" s="44"/>
      <c r="C106" s="45" t="s">
        <v>139</v>
      </c>
      <c r="D106" s="46"/>
      <c r="E106" s="46"/>
      <c r="F106" s="47"/>
      <c r="G106" s="48">
        <f aca="true" t="shared" si="33" ref="G106:L106">G98+G85+G78+G75+G72+G62+G45+G40+G36+G26+G15</f>
        <v>191590.5718366146</v>
      </c>
      <c r="H106" s="48">
        <f t="shared" si="33"/>
        <v>116584.17208343712</v>
      </c>
      <c r="I106" s="48">
        <f t="shared" si="33"/>
        <v>39990.450774959994</v>
      </c>
      <c r="J106" s="48">
        <f t="shared" si="33"/>
        <v>166407.0279705798</v>
      </c>
      <c r="K106" s="48">
        <f t="shared" si="33"/>
        <v>18010.027843295647</v>
      </c>
      <c r="L106" s="48">
        <f t="shared" si="33"/>
        <v>0</v>
      </c>
      <c r="M106" s="49">
        <f>M98+M85+M78+M75+M72+M62+M45+M40+M36+M26+M15+M100+M101+M102+M103+M104+M105</f>
        <v>737970.6810173617</v>
      </c>
      <c r="N106" s="55">
        <f>SUM(N7:N105)</f>
        <v>14.305084147812705</v>
      </c>
      <c r="O106" s="51">
        <f t="shared" si="30"/>
        <v>16.87999929441899</v>
      </c>
      <c r="P106" s="61">
        <f>SUM(P7:P105)</f>
        <v>16.87999929441899</v>
      </c>
    </row>
    <row r="108" spans="13:14" ht="12">
      <c r="M108" s="54"/>
      <c r="N108" s="181"/>
    </row>
    <row r="109" spans="4:11" ht="19.5">
      <c r="D109" s="192" t="s">
        <v>140</v>
      </c>
      <c r="E109" s="192"/>
      <c r="F109" s="192"/>
      <c r="G109" s="192"/>
      <c r="H109" s="192"/>
      <c r="I109" s="192"/>
      <c r="J109" s="192"/>
      <c r="K109" s="192"/>
    </row>
    <row r="110" spans="4:15" ht="15.75">
      <c r="D110" s="13" t="s">
        <v>141</v>
      </c>
      <c r="E110" s="186">
        <f>G106</f>
        <v>191590.5718366146</v>
      </c>
      <c r="F110" s="186"/>
      <c r="G110" s="14"/>
      <c r="H110" s="14"/>
      <c r="I110" s="13" t="s">
        <v>142</v>
      </c>
      <c r="J110" s="186">
        <f>J106</f>
        <v>166407.0279705798</v>
      </c>
      <c r="K110" s="186"/>
      <c r="O110" s="178"/>
    </row>
    <row r="111" spans="4:11" ht="15.75">
      <c r="D111" s="13" t="s">
        <v>143</v>
      </c>
      <c r="E111" s="186">
        <f>H106</f>
        <v>116584.17208343712</v>
      </c>
      <c r="F111" s="186"/>
      <c r="G111" s="14"/>
      <c r="H111" s="14"/>
      <c r="I111" s="13" t="s">
        <v>144</v>
      </c>
      <c r="J111" s="186">
        <f>K106</f>
        <v>18010.027843295647</v>
      </c>
      <c r="K111" s="186"/>
    </row>
    <row r="112" spans="4:16" ht="15.75">
      <c r="D112" s="13" t="s">
        <v>145</v>
      </c>
      <c r="E112" s="186">
        <f>I106</f>
        <v>39990.450774959994</v>
      </c>
      <c r="F112" s="186"/>
      <c r="G112" s="14"/>
      <c r="H112" s="14"/>
      <c r="I112" s="13" t="s">
        <v>146</v>
      </c>
      <c r="J112" s="186">
        <f>L106</f>
        <v>0</v>
      </c>
      <c r="K112" s="186"/>
      <c r="P112" s="180"/>
    </row>
    <row r="113" spans="4:14" ht="15.75">
      <c r="D113" s="13"/>
      <c r="E113" s="14"/>
      <c r="F113" s="14"/>
      <c r="G113" s="14"/>
      <c r="H113" s="14"/>
      <c r="I113" s="13" t="s">
        <v>147</v>
      </c>
      <c r="J113" s="186">
        <f>M106</f>
        <v>737970.6810173617</v>
      </c>
      <c r="K113" s="186"/>
      <c r="N113" s="179"/>
    </row>
  </sheetData>
  <sheetProtection selectLockedCells="1" selectUnlockedCells="1"/>
  <mergeCells count="30">
    <mergeCell ref="B41:M41"/>
    <mergeCell ref="B47:M47"/>
    <mergeCell ref="B1:M1"/>
    <mergeCell ref="B16:M16"/>
    <mergeCell ref="B27:M27"/>
    <mergeCell ref="C37:M37"/>
    <mergeCell ref="P42:P44"/>
    <mergeCell ref="E110:F110"/>
    <mergeCell ref="J110:K110"/>
    <mergeCell ref="E111:F111"/>
    <mergeCell ref="J111:K111"/>
    <mergeCell ref="P48:P61"/>
    <mergeCell ref="P64:P71"/>
    <mergeCell ref="P80:P84"/>
    <mergeCell ref="P87:P97"/>
    <mergeCell ref="B63:M63"/>
    <mergeCell ref="P7:P14"/>
    <mergeCell ref="P17:P25"/>
    <mergeCell ref="P28:P35"/>
    <mergeCell ref="P38:P39"/>
    <mergeCell ref="E112:F112"/>
    <mergeCell ref="J112:K112"/>
    <mergeCell ref="J113:K113"/>
    <mergeCell ref="B4:O4"/>
    <mergeCell ref="B5:O5"/>
    <mergeCell ref="C73:M73"/>
    <mergeCell ref="B76:M76"/>
    <mergeCell ref="C79:M79"/>
    <mergeCell ref="C86:M86"/>
    <mergeCell ref="D109:K109"/>
  </mergeCells>
  <printOptions/>
  <pageMargins left="0.35" right="0.35" top="0.35" bottom="0.35" header="0.5118055555555555" footer="0.3"/>
  <pageSetup fitToHeight="0" fitToWidth="1" horizontalDpi="300" verticalDpi="300" orientation="landscape" paperSize="9" scale="69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6"/>
  <sheetViews>
    <sheetView zoomScale="89" zoomScaleNormal="89" zoomScalePageLayoutView="0" workbookViewId="0" topLeftCell="B1">
      <selection activeCell="C37" sqref="C37"/>
    </sheetView>
  </sheetViews>
  <sheetFormatPr defaultColWidth="9.140625" defaultRowHeight="12"/>
  <cols>
    <col min="1" max="1" width="0" style="1" hidden="1" customWidth="1"/>
    <col min="2" max="2" width="7.00390625" style="1" customWidth="1"/>
    <col min="3" max="3" width="60.00390625" style="1" customWidth="1"/>
    <col min="4" max="4" width="13.00390625" style="1" customWidth="1"/>
    <col min="5" max="5" width="11.00390625" style="1" customWidth="1"/>
    <col min="6" max="6" width="13.00390625" style="1" customWidth="1"/>
    <col min="7" max="7" width="15.00390625" style="1" customWidth="1"/>
  </cols>
  <sheetData>
    <row r="1" spans="2:7" ht="27.75" customHeight="1">
      <c r="B1" s="193" t="s">
        <v>148</v>
      </c>
      <c r="C1" s="193"/>
      <c r="D1" s="193"/>
      <c r="E1" s="193"/>
      <c r="F1" s="193"/>
      <c r="G1" s="193"/>
    </row>
    <row r="3" spans="1:7" ht="27">
      <c r="A3" s="2"/>
      <c r="B3" s="4" t="s">
        <v>1</v>
      </c>
      <c r="C3" s="4" t="s">
        <v>149</v>
      </c>
      <c r="D3" s="5" t="s">
        <v>150</v>
      </c>
      <c r="E3" s="5" t="s">
        <v>4</v>
      </c>
      <c r="F3" s="5" t="s">
        <v>151</v>
      </c>
      <c r="G3" s="6" t="s">
        <v>12</v>
      </c>
    </row>
    <row r="4" spans="2:7" ht="12.75" customHeight="1">
      <c r="B4" s="183" t="s">
        <v>152</v>
      </c>
      <c r="C4" s="183"/>
      <c r="D4" s="183"/>
      <c r="E4" s="183"/>
      <c r="F4" s="183"/>
      <c r="G4" s="183"/>
    </row>
    <row r="5" spans="2:7" ht="12">
      <c r="B5" s="15">
        <v>1</v>
      </c>
      <c r="C5" s="16" t="s">
        <v>153</v>
      </c>
      <c r="D5" s="16" t="s">
        <v>154</v>
      </c>
      <c r="E5" s="17">
        <v>0.776</v>
      </c>
      <c r="F5" s="18">
        <v>93.47</v>
      </c>
      <c r="G5" s="19">
        <f aca="true" t="shared" si="0" ref="G5:G46">E5*F5</f>
        <v>72.53272</v>
      </c>
    </row>
    <row r="6" spans="2:7" ht="12">
      <c r="B6" s="7">
        <v>2</v>
      </c>
      <c r="C6" s="8" t="s">
        <v>155</v>
      </c>
      <c r="D6" s="8" t="s">
        <v>154</v>
      </c>
      <c r="E6" s="20">
        <v>1.552</v>
      </c>
      <c r="F6" s="10">
        <v>100.94760000000002</v>
      </c>
      <c r="G6" s="11">
        <f t="shared" si="0"/>
        <v>156.67067520000003</v>
      </c>
    </row>
    <row r="7" spans="2:7" ht="12">
      <c r="B7" s="7">
        <v>3</v>
      </c>
      <c r="C7" s="8" t="s">
        <v>156</v>
      </c>
      <c r="D7" s="8" t="s">
        <v>154</v>
      </c>
      <c r="E7" s="20">
        <v>2.328</v>
      </c>
      <c r="F7" s="10">
        <v>112.164</v>
      </c>
      <c r="G7" s="11">
        <f t="shared" si="0"/>
        <v>261.117792</v>
      </c>
    </row>
    <row r="8" spans="2:7" ht="12">
      <c r="B8" s="7">
        <v>4</v>
      </c>
      <c r="C8" s="8" t="s">
        <v>157</v>
      </c>
      <c r="D8" s="8" t="s">
        <v>154</v>
      </c>
      <c r="E8" s="20">
        <v>0.776</v>
      </c>
      <c r="F8" s="10">
        <v>126.18450000000001</v>
      </c>
      <c r="G8" s="11">
        <f t="shared" si="0"/>
        <v>97.91917200000002</v>
      </c>
    </row>
    <row r="9" spans="2:7" ht="12">
      <c r="B9" s="7">
        <v>5</v>
      </c>
      <c r="C9" s="8" t="s">
        <v>158</v>
      </c>
      <c r="D9" s="8" t="s">
        <v>154</v>
      </c>
      <c r="E9" s="20">
        <v>749.8432</v>
      </c>
      <c r="F9" s="21">
        <v>59.53</v>
      </c>
      <c r="G9" s="11">
        <f t="shared" si="0"/>
        <v>44638.165696000004</v>
      </c>
    </row>
    <row r="10" spans="2:7" ht="12">
      <c r="B10" s="7">
        <v>6</v>
      </c>
      <c r="C10" s="8" t="s">
        <v>159</v>
      </c>
      <c r="D10" s="8" t="s">
        <v>154</v>
      </c>
      <c r="E10" s="20">
        <v>35.1</v>
      </c>
      <c r="F10" s="10">
        <v>112.164</v>
      </c>
      <c r="G10" s="11">
        <f t="shared" si="0"/>
        <v>3936.9564</v>
      </c>
    </row>
    <row r="11" spans="2:7" ht="12">
      <c r="B11" s="7">
        <v>7</v>
      </c>
      <c r="C11" s="8" t="s">
        <v>160</v>
      </c>
      <c r="D11" s="8" t="s">
        <v>154</v>
      </c>
      <c r="E11" s="20">
        <v>10.32</v>
      </c>
      <c r="F11" s="10">
        <v>100.94760000000002</v>
      </c>
      <c r="G11" s="11">
        <f t="shared" si="0"/>
        <v>1041.7792320000003</v>
      </c>
    </row>
    <row r="12" spans="2:7" ht="12">
      <c r="B12" s="7">
        <v>8</v>
      </c>
      <c r="C12" s="8" t="s">
        <v>161</v>
      </c>
      <c r="D12" s="8" t="s">
        <v>154</v>
      </c>
      <c r="E12" s="20">
        <v>10.32</v>
      </c>
      <c r="F12" s="10">
        <v>112.164</v>
      </c>
      <c r="G12" s="11">
        <f t="shared" si="0"/>
        <v>1157.53248</v>
      </c>
    </row>
    <row r="13" spans="2:7" ht="12">
      <c r="B13" s="7">
        <v>9</v>
      </c>
      <c r="C13" s="8" t="s">
        <v>162</v>
      </c>
      <c r="D13" s="8" t="s">
        <v>154</v>
      </c>
      <c r="E13" s="20">
        <v>30.093</v>
      </c>
      <c r="F13" s="21">
        <v>123</v>
      </c>
      <c r="G13" s="11">
        <f t="shared" si="0"/>
        <v>3701.439</v>
      </c>
    </row>
    <row r="14" spans="2:7" ht="12">
      <c r="B14" s="7">
        <v>10</v>
      </c>
      <c r="C14" s="8" t="s">
        <v>163</v>
      </c>
      <c r="D14" s="8" t="s">
        <v>154</v>
      </c>
      <c r="E14" s="20">
        <v>7.9325</v>
      </c>
      <c r="F14" s="10">
        <v>126.18450000000001</v>
      </c>
      <c r="G14" s="11">
        <f t="shared" si="0"/>
        <v>1000.9585462500002</v>
      </c>
    </row>
    <row r="15" spans="2:7" ht="12">
      <c r="B15" s="7">
        <v>11</v>
      </c>
      <c r="C15" s="8" t="s">
        <v>164</v>
      </c>
      <c r="D15" s="8" t="s">
        <v>154</v>
      </c>
      <c r="E15" s="20">
        <v>71.325</v>
      </c>
      <c r="F15" s="10">
        <v>143.9438</v>
      </c>
      <c r="G15" s="11">
        <f t="shared" si="0"/>
        <v>10266.791535</v>
      </c>
    </row>
    <row r="16" spans="2:7" ht="12">
      <c r="B16" s="7">
        <v>12</v>
      </c>
      <c r="C16" s="8" t="s">
        <v>165</v>
      </c>
      <c r="D16" s="8" t="s">
        <v>154</v>
      </c>
      <c r="E16" s="20">
        <v>0.6</v>
      </c>
      <c r="F16" s="10">
        <v>112.164</v>
      </c>
      <c r="G16" s="11">
        <f t="shared" si="0"/>
        <v>67.2984</v>
      </c>
    </row>
    <row r="17" spans="2:7" ht="24">
      <c r="B17" s="7">
        <v>13</v>
      </c>
      <c r="C17" s="8" t="s">
        <v>166</v>
      </c>
      <c r="D17" s="8" t="s">
        <v>154</v>
      </c>
      <c r="E17" s="20">
        <v>23.4</v>
      </c>
      <c r="F17" s="10">
        <v>100.94760000000002</v>
      </c>
      <c r="G17" s="11">
        <f t="shared" si="0"/>
        <v>2362.1738400000004</v>
      </c>
    </row>
    <row r="18" spans="2:7" ht="24">
      <c r="B18" s="7">
        <v>14</v>
      </c>
      <c r="C18" s="8" t="s">
        <v>167</v>
      </c>
      <c r="D18" s="8" t="s">
        <v>154</v>
      </c>
      <c r="E18" s="20">
        <v>23.4</v>
      </c>
      <c r="F18" s="10">
        <v>112.164</v>
      </c>
      <c r="G18" s="11">
        <f t="shared" si="0"/>
        <v>2624.6376</v>
      </c>
    </row>
    <row r="19" spans="2:7" ht="24">
      <c r="B19" s="7">
        <v>15</v>
      </c>
      <c r="C19" s="8" t="s">
        <v>168</v>
      </c>
      <c r="D19" s="8" t="s">
        <v>154</v>
      </c>
      <c r="E19" s="20">
        <v>3.92</v>
      </c>
      <c r="F19" s="21">
        <v>133.87</v>
      </c>
      <c r="G19" s="11">
        <f t="shared" si="0"/>
        <v>524.7704</v>
      </c>
    </row>
    <row r="20" spans="2:7" ht="12">
      <c r="B20" s="7">
        <v>16</v>
      </c>
      <c r="C20" s="8" t="s">
        <v>169</v>
      </c>
      <c r="D20" s="8" t="s">
        <v>154</v>
      </c>
      <c r="E20" s="20">
        <v>10.075</v>
      </c>
      <c r="F20" s="10">
        <v>100.94760000000002</v>
      </c>
      <c r="G20" s="11">
        <f t="shared" si="0"/>
        <v>1017.0470700000002</v>
      </c>
    </row>
    <row r="21" spans="2:7" ht="12">
      <c r="B21" s="7">
        <v>17</v>
      </c>
      <c r="C21" s="8" t="s">
        <v>170</v>
      </c>
      <c r="D21" s="8" t="s">
        <v>154</v>
      </c>
      <c r="E21" s="20">
        <v>10.075</v>
      </c>
      <c r="F21" s="10">
        <v>112.164</v>
      </c>
      <c r="G21" s="11">
        <f t="shared" si="0"/>
        <v>1130.0522999999998</v>
      </c>
    </row>
    <row r="22" spans="2:7" ht="12">
      <c r="B22" s="7">
        <v>18</v>
      </c>
      <c r="C22" s="8" t="s">
        <v>171</v>
      </c>
      <c r="D22" s="8" t="s">
        <v>154</v>
      </c>
      <c r="E22" s="20">
        <v>4.06</v>
      </c>
      <c r="F22" s="10">
        <v>126.18450000000001</v>
      </c>
      <c r="G22" s="11">
        <f t="shared" si="0"/>
        <v>512.30907</v>
      </c>
    </row>
    <row r="23" spans="2:7" ht="12">
      <c r="B23" s="7">
        <v>19</v>
      </c>
      <c r="C23" s="8" t="s">
        <v>172</v>
      </c>
      <c r="D23" s="8" t="s">
        <v>154</v>
      </c>
      <c r="E23" s="20">
        <v>6</v>
      </c>
      <c r="F23" s="10">
        <v>143.9438</v>
      </c>
      <c r="G23" s="11">
        <f t="shared" si="0"/>
        <v>863.6628000000001</v>
      </c>
    </row>
    <row r="24" spans="2:7" ht="24">
      <c r="B24" s="7">
        <v>20</v>
      </c>
      <c r="C24" s="8" t="s">
        <v>173</v>
      </c>
      <c r="D24" s="8" t="s">
        <v>154</v>
      </c>
      <c r="E24" s="20">
        <v>6</v>
      </c>
      <c r="F24" s="10">
        <v>126.18450000000001</v>
      </c>
      <c r="G24" s="11">
        <f t="shared" si="0"/>
        <v>757.1070000000001</v>
      </c>
    </row>
    <row r="25" spans="2:7" ht="24">
      <c r="B25" s="7">
        <v>21</v>
      </c>
      <c r="C25" s="8" t="s">
        <v>174</v>
      </c>
      <c r="D25" s="8" t="s">
        <v>154</v>
      </c>
      <c r="E25" s="20">
        <v>1.05</v>
      </c>
      <c r="F25" s="10">
        <v>143.9438</v>
      </c>
      <c r="G25" s="11">
        <f t="shared" si="0"/>
        <v>151.14099000000002</v>
      </c>
    </row>
    <row r="26" spans="2:7" ht="12">
      <c r="B26" s="7">
        <v>22</v>
      </c>
      <c r="C26" s="8" t="s">
        <v>175</v>
      </c>
      <c r="D26" s="8" t="s">
        <v>154</v>
      </c>
      <c r="E26" s="20">
        <v>0.776</v>
      </c>
      <c r="F26" s="10">
        <v>93.47</v>
      </c>
      <c r="G26" s="11">
        <f t="shared" si="0"/>
        <v>72.53272</v>
      </c>
    </row>
    <row r="27" spans="2:7" ht="12">
      <c r="B27" s="7">
        <v>23</v>
      </c>
      <c r="C27" s="8" t="s">
        <v>176</v>
      </c>
      <c r="D27" s="8" t="s">
        <v>154</v>
      </c>
      <c r="E27" s="20">
        <v>66.20586</v>
      </c>
      <c r="F27" s="10">
        <v>112.164</v>
      </c>
      <c r="G27" s="11">
        <f t="shared" si="0"/>
        <v>7425.91408104</v>
      </c>
    </row>
    <row r="28" spans="2:7" ht="12">
      <c r="B28" s="7">
        <v>24</v>
      </c>
      <c r="C28" s="8" t="s">
        <v>177</v>
      </c>
      <c r="D28" s="8" t="s">
        <v>154</v>
      </c>
      <c r="E28" s="20">
        <v>0.305</v>
      </c>
      <c r="F28" s="10">
        <v>126.18450000000001</v>
      </c>
      <c r="G28" s="11">
        <f t="shared" si="0"/>
        <v>38.486272500000005</v>
      </c>
    </row>
    <row r="29" spans="2:7" ht="12">
      <c r="B29" s="7">
        <v>25</v>
      </c>
      <c r="C29" s="8" t="s">
        <v>178</v>
      </c>
      <c r="D29" s="8" t="s">
        <v>154</v>
      </c>
      <c r="E29" s="20">
        <v>0.305</v>
      </c>
      <c r="F29" s="10">
        <v>143.9438</v>
      </c>
      <c r="G29" s="11">
        <f t="shared" si="0"/>
        <v>43.902859</v>
      </c>
    </row>
    <row r="30" spans="2:7" ht="24">
      <c r="B30" s="7">
        <v>26</v>
      </c>
      <c r="C30" s="8" t="s">
        <v>179</v>
      </c>
      <c r="D30" s="8" t="s">
        <v>154</v>
      </c>
      <c r="E30" s="20">
        <v>177.68453305</v>
      </c>
      <c r="F30" s="10">
        <v>100.94760000000002</v>
      </c>
      <c r="G30" s="11">
        <f t="shared" si="0"/>
        <v>17936.827168518183</v>
      </c>
    </row>
    <row r="31" spans="2:7" ht="24">
      <c r="B31" s="7">
        <v>27</v>
      </c>
      <c r="C31" s="8" t="s">
        <v>180</v>
      </c>
      <c r="D31" s="8" t="s">
        <v>154</v>
      </c>
      <c r="E31" s="20">
        <v>0.6445</v>
      </c>
      <c r="F31" s="10">
        <v>112.164</v>
      </c>
      <c r="G31" s="11">
        <f t="shared" si="0"/>
        <v>72.289698</v>
      </c>
    </row>
    <row r="32" spans="2:7" ht="24">
      <c r="B32" s="7">
        <v>28</v>
      </c>
      <c r="C32" s="8" t="s">
        <v>181</v>
      </c>
      <c r="D32" s="8" t="s">
        <v>154</v>
      </c>
      <c r="E32" s="20">
        <v>56.23092</v>
      </c>
      <c r="F32" s="21">
        <v>0.01</v>
      </c>
      <c r="G32" s="11">
        <f t="shared" si="0"/>
        <v>0.5623092</v>
      </c>
    </row>
    <row r="33" spans="2:7" ht="12">
      <c r="B33" s="7">
        <v>29</v>
      </c>
      <c r="C33" s="8" t="s">
        <v>182</v>
      </c>
      <c r="D33" s="8" t="s">
        <v>154</v>
      </c>
      <c r="E33" s="20">
        <v>40.1116</v>
      </c>
      <c r="F33" s="10">
        <v>112.164</v>
      </c>
      <c r="G33" s="11">
        <f t="shared" si="0"/>
        <v>4499.0775024</v>
      </c>
    </row>
    <row r="34" spans="2:7" ht="12">
      <c r="B34" s="7">
        <v>30</v>
      </c>
      <c r="C34" s="8" t="s">
        <v>183</v>
      </c>
      <c r="D34" s="8" t="s">
        <v>154</v>
      </c>
      <c r="E34" s="20">
        <v>68.792</v>
      </c>
      <c r="F34" s="10">
        <v>100.94760000000002</v>
      </c>
      <c r="G34" s="11">
        <f t="shared" si="0"/>
        <v>6944.3872992000015</v>
      </c>
    </row>
    <row r="35" spans="2:7" ht="12">
      <c r="B35" s="7">
        <v>31</v>
      </c>
      <c r="C35" s="8" t="s">
        <v>184</v>
      </c>
      <c r="D35" s="8" t="s">
        <v>154</v>
      </c>
      <c r="E35" s="20">
        <v>100.00666659</v>
      </c>
      <c r="F35" s="10">
        <v>112.164</v>
      </c>
      <c r="G35" s="11">
        <f t="shared" si="0"/>
        <v>11217.14775140076</v>
      </c>
    </row>
    <row r="36" spans="2:7" ht="12">
      <c r="B36" s="7">
        <v>32</v>
      </c>
      <c r="C36" s="8" t="s">
        <v>185</v>
      </c>
      <c r="D36" s="8" t="s">
        <v>154</v>
      </c>
      <c r="E36" s="20">
        <v>250.22004</v>
      </c>
      <c r="F36" s="10">
        <v>126.18450000000001</v>
      </c>
      <c r="G36" s="11">
        <f t="shared" si="0"/>
        <v>31573.890637380006</v>
      </c>
    </row>
    <row r="37" spans="2:7" ht="12">
      <c r="B37" s="7">
        <v>33</v>
      </c>
      <c r="C37" s="8" t="s">
        <v>186</v>
      </c>
      <c r="D37" s="8" t="s">
        <v>154</v>
      </c>
      <c r="E37" s="20">
        <v>32.31166658</v>
      </c>
      <c r="F37" s="10">
        <v>143.9438</v>
      </c>
      <c r="G37" s="11">
        <f t="shared" si="0"/>
        <v>4651.064071858204</v>
      </c>
    </row>
    <row r="38" spans="2:7" ht="12">
      <c r="B38" s="7">
        <v>34</v>
      </c>
      <c r="C38" s="8" t="s">
        <v>187</v>
      </c>
      <c r="D38" s="8" t="s">
        <v>154</v>
      </c>
      <c r="E38" s="20">
        <v>26.29666659</v>
      </c>
      <c r="F38" s="10">
        <v>168.246</v>
      </c>
      <c r="G38" s="11">
        <f t="shared" si="0"/>
        <v>4424.30896710114</v>
      </c>
    </row>
    <row r="39" spans="2:7" ht="12">
      <c r="B39" s="7">
        <v>35</v>
      </c>
      <c r="C39" s="8" t="s">
        <v>188</v>
      </c>
      <c r="D39" s="8" t="s">
        <v>154</v>
      </c>
      <c r="E39" s="20">
        <v>0.46</v>
      </c>
      <c r="F39" s="10">
        <v>100.94760000000002</v>
      </c>
      <c r="G39" s="11">
        <f t="shared" si="0"/>
        <v>46.435896000000014</v>
      </c>
    </row>
    <row r="40" spans="2:7" ht="12">
      <c r="B40" s="7">
        <v>36</v>
      </c>
      <c r="C40" s="8" t="s">
        <v>189</v>
      </c>
      <c r="D40" s="8" t="s">
        <v>154</v>
      </c>
      <c r="E40" s="20">
        <v>0.46</v>
      </c>
      <c r="F40" s="10">
        <v>112.164</v>
      </c>
      <c r="G40" s="11">
        <f t="shared" si="0"/>
        <v>51.59544</v>
      </c>
    </row>
    <row r="41" spans="2:7" ht="12">
      <c r="B41" s="7">
        <v>37</v>
      </c>
      <c r="C41" s="8" t="s">
        <v>190</v>
      </c>
      <c r="D41" s="8" t="s">
        <v>154</v>
      </c>
      <c r="E41" s="20">
        <v>56.25</v>
      </c>
      <c r="F41" s="10">
        <v>100.94760000000002</v>
      </c>
      <c r="G41" s="11">
        <f t="shared" si="0"/>
        <v>5678.302500000002</v>
      </c>
    </row>
    <row r="42" spans="2:7" ht="12">
      <c r="B42" s="7">
        <v>38</v>
      </c>
      <c r="C42" s="8" t="s">
        <v>191</v>
      </c>
      <c r="D42" s="8" t="s">
        <v>154</v>
      </c>
      <c r="E42" s="20">
        <v>56.25</v>
      </c>
      <c r="F42" s="10">
        <v>126.18450000000001</v>
      </c>
      <c r="G42" s="11">
        <f t="shared" si="0"/>
        <v>7097.878125000001</v>
      </c>
    </row>
    <row r="43" spans="2:7" ht="12">
      <c r="B43" s="7">
        <v>39</v>
      </c>
      <c r="C43" s="8" t="s">
        <v>192</v>
      </c>
      <c r="D43" s="8" t="s">
        <v>154</v>
      </c>
      <c r="E43" s="20">
        <v>6.87</v>
      </c>
      <c r="F43" s="10">
        <v>126.18450000000001</v>
      </c>
      <c r="G43" s="11">
        <f t="shared" si="0"/>
        <v>866.8875150000001</v>
      </c>
    </row>
    <row r="44" spans="2:7" ht="24">
      <c r="B44" s="7">
        <v>40</v>
      </c>
      <c r="C44" s="8" t="s">
        <v>193</v>
      </c>
      <c r="D44" s="8" t="s">
        <v>194</v>
      </c>
      <c r="E44" s="20">
        <v>56.23092</v>
      </c>
      <c r="F44" s="10">
        <v>143.9438</v>
      </c>
      <c r="G44" s="11">
        <f t="shared" si="0"/>
        <v>8094.0923022960005</v>
      </c>
    </row>
    <row r="45" spans="2:7" ht="24">
      <c r="B45" s="7">
        <v>41</v>
      </c>
      <c r="C45" s="8" t="s">
        <v>195</v>
      </c>
      <c r="D45" s="8" t="s">
        <v>154</v>
      </c>
      <c r="E45" s="20">
        <v>18.32</v>
      </c>
      <c r="F45" s="10">
        <v>112.164</v>
      </c>
      <c r="G45" s="11">
        <f t="shared" si="0"/>
        <v>2054.84448</v>
      </c>
    </row>
    <row r="46" spans="2:7" ht="24">
      <c r="B46" s="7">
        <v>42</v>
      </c>
      <c r="C46" s="8" t="s">
        <v>196</v>
      </c>
      <c r="D46" s="8" t="s">
        <v>154</v>
      </c>
      <c r="E46" s="20">
        <v>62.69092</v>
      </c>
      <c r="F46" s="10">
        <v>126.18450000000001</v>
      </c>
      <c r="G46" s="11">
        <f t="shared" si="0"/>
        <v>7910.62239474</v>
      </c>
    </row>
    <row r="47" spans="2:7" ht="12">
      <c r="B47" s="182" t="s">
        <v>139</v>
      </c>
      <c r="C47" s="182"/>
      <c r="D47" s="182"/>
      <c r="E47" s="182"/>
      <c r="F47" s="182"/>
      <c r="G47" s="22">
        <f>SUM(G5:G46)</f>
        <v>197043.1127090843</v>
      </c>
    </row>
    <row r="48" spans="2:7" ht="12.75" customHeight="1">
      <c r="B48" s="183" t="s">
        <v>197</v>
      </c>
      <c r="C48" s="183"/>
      <c r="D48" s="183"/>
      <c r="E48" s="183"/>
      <c r="F48" s="183"/>
      <c r="G48" s="183"/>
    </row>
    <row r="49" spans="2:7" ht="24">
      <c r="B49" s="15">
        <v>43</v>
      </c>
      <c r="C49" s="16" t="s">
        <v>198</v>
      </c>
      <c r="D49" s="16" t="s">
        <v>199</v>
      </c>
      <c r="E49" s="17">
        <v>4.62</v>
      </c>
      <c r="F49" s="18">
        <v>15.7675</v>
      </c>
      <c r="G49" s="19">
        <f aca="true" t="shared" si="1" ref="G49:G80">E49*F49</f>
        <v>72.84585</v>
      </c>
    </row>
    <row r="50" spans="2:7" ht="24">
      <c r="B50" s="7">
        <v>44</v>
      </c>
      <c r="C50" s="8" t="s">
        <v>200</v>
      </c>
      <c r="D50" s="8" t="s">
        <v>199</v>
      </c>
      <c r="E50" s="20">
        <v>2.75</v>
      </c>
      <c r="F50" s="10">
        <v>24.525899999999996</v>
      </c>
      <c r="G50" s="11">
        <f t="shared" si="1"/>
        <v>67.44622499999998</v>
      </c>
    </row>
    <row r="51" spans="2:7" ht="24">
      <c r="B51" s="7">
        <v>45</v>
      </c>
      <c r="C51" s="8" t="s">
        <v>201</v>
      </c>
      <c r="D51" s="8" t="s">
        <v>199</v>
      </c>
      <c r="E51" s="20">
        <v>0</v>
      </c>
      <c r="F51" s="10">
        <v>30.464</v>
      </c>
      <c r="G51" s="11">
        <f t="shared" si="1"/>
        <v>0</v>
      </c>
    </row>
    <row r="52" spans="2:7" ht="24">
      <c r="B52" s="7">
        <v>46</v>
      </c>
      <c r="C52" s="8" t="s">
        <v>202</v>
      </c>
      <c r="D52" s="8" t="s">
        <v>199</v>
      </c>
      <c r="E52" s="20">
        <v>4.84</v>
      </c>
      <c r="F52" s="10">
        <v>41.1621</v>
      </c>
      <c r="G52" s="11">
        <f t="shared" si="1"/>
        <v>199.22456400000002</v>
      </c>
    </row>
    <row r="53" spans="2:7" ht="12">
      <c r="B53" s="7">
        <v>47</v>
      </c>
      <c r="C53" s="8" t="s">
        <v>203</v>
      </c>
      <c r="D53" s="8" t="s">
        <v>204</v>
      </c>
      <c r="E53" s="20">
        <v>2.124</v>
      </c>
      <c r="F53" s="10">
        <v>2678.7495</v>
      </c>
      <c r="G53" s="11">
        <f t="shared" si="1"/>
        <v>5689.663938</v>
      </c>
    </row>
    <row r="54" spans="2:7" ht="12">
      <c r="B54" s="7">
        <v>48</v>
      </c>
      <c r="C54" s="8" t="s">
        <v>205</v>
      </c>
      <c r="D54" s="8" t="s">
        <v>206</v>
      </c>
      <c r="E54" s="20">
        <v>0.20184</v>
      </c>
      <c r="F54" s="10">
        <v>386.0003</v>
      </c>
      <c r="G54" s="11">
        <f t="shared" si="1"/>
        <v>77.910300552</v>
      </c>
    </row>
    <row r="55" spans="2:7" ht="12">
      <c r="B55" s="7">
        <v>49</v>
      </c>
      <c r="C55" s="8" t="s">
        <v>207</v>
      </c>
      <c r="D55" s="8" t="s">
        <v>204</v>
      </c>
      <c r="E55" s="20">
        <v>5E-05</v>
      </c>
      <c r="F55" s="10">
        <v>57049.6591</v>
      </c>
      <c r="G55" s="11">
        <f t="shared" si="1"/>
        <v>2.852482955</v>
      </c>
    </row>
    <row r="56" spans="2:7" ht="12">
      <c r="B56" s="7">
        <v>50</v>
      </c>
      <c r="C56" s="8" t="s">
        <v>208</v>
      </c>
      <c r="D56" s="8" t="s">
        <v>204</v>
      </c>
      <c r="E56" s="20">
        <v>0.00252</v>
      </c>
      <c r="F56" s="10">
        <v>47629.78569999999</v>
      </c>
      <c r="G56" s="11">
        <f t="shared" si="1"/>
        <v>120.02705996399999</v>
      </c>
    </row>
    <row r="57" spans="2:7" ht="12">
      <c r="B57" s="7">
        <v>51</v>
      </c>
      <c r="C57" s="8" t="s">
        <v>209</v>
      </c>
      <c r="D57" s="8" t="s">
        <v>204</v>
      </c>
      <c r="E57" s="20">
        <v>0.0540456</v>
      </c>
      <c r="F57" s="10">
        <v>53278.061200000004</v>
      </c>
      <c r="G57" s="11">
        <f t="shared" si="1"/>
        <v>2879.44478439072</v>
      </c>
    </row>
    <row r="58" spans="2:7" ht="12">
      <c r="B58" s="7">
        <v>52</v>
      </c>
      <c r="C58" s="8" t="s">
        <v>210</v>
      </c>
      <c r="D58" s="8" t="s">
        <v>204</v>
      </c>
      <c r="E58" s="20">
        <v>0.00512</v>
      </c>
      <c r="F58" s="10">
        <v>14199.377499999999</v>
      </c>
      <c r="G58" s="11">
        <f t="shared" si="1"/>
        <v>72.7008128</v>
      </c>
    </row>
    <row r="59" spans="2:7" ht="24">
      <c r="B59" s="7">
        <v>53</v>
      </c>
      <c r="C59" s="8" t="s">
        <v>211</v>
      </c>
      <c r="D59" s="8" t="s">
        <v>204</v>
      </c>
      <c r="E59" s="20">
        <v>0.00105</v>
      </c>
      <c r="F59" s="10">
        <v>58783.7271</v>
      </c>
      <c r="G59" s="11">
        <f t="shared" si="1"/>
        <v>61.72291345499999</v>
      </c>
    </row>
    <row r="60" spans="2:7" ht="24">
      <c r="B60" s="7">
        <v>54</v>
      </c>
      <c r="C60" s="8" t="s">
        <v>212</v>
      </c>
      <c r="D60" s="8" t="s">
        <v>204</v>
      </c>
      <c r="E60" s="20">
        <v>0.00324</v>
      </c>
      <c r="F60" s="10">
        <v>64294.6409</v>
      </c>
      <c r="G60" s="11">
        <f t="shared" si="1"/>
        <v>208.31463651599998</v>
      </c>
    </row>
    <row r="61" spans="2:7" ht="12">
      <c r="B61" s="7">
        <v>55</v>
      </c>
      <c r="C61" s="8" t="s">
        <v>213</v>
      </c>
      <c r="D61" s="8" t="s">
        <v>204</v>
      </c>
      <c r="E61" s="20">
        <v>0.011105</v>
      </c>
      <c r="F61" s="10">
        <v>83700.792</v>
      </c>
      <c r="G61" s="11">
        <f t="shared" si="1"/>
        <v>929.49729516</v>
      </c>
    </row>
    <row r="62" spans="2:7" ht="24">
      <c r="B62" s="7">
        <v>56</v>
      </c>
      <c r="C62" s="8" t="s">
        <v>214</v>
      </c>
      <c r="D62" s="8" t="s">
        <v>199</v>
      </c>
      <c r="E62" s="20">
        <v>12</v>
      </c>
      <c r="F62" s="10">
        <v>81.96719999999999</v>
      </c>
      <c r="G62" s="11">
        <f t="shared" si="1"/>
        <v>983.6063999999999</v>
      </c>
    </row>
    <row r="63" spans="2:7" ht="12">
      <c r="B63" s="7">
        <v>57</v>
      </c>
      <c r="C63" s="8" t="s">
        <v>215</v>
      </c>
      <c r="D63" s="8" t="s">
        <v>199</v>
      </c>
      <c r="E63" s="20">
        <v>8</v>
      </c>
      <c r="F63" s="10">
        <v>160.54289999999997</v>
      </c>
      <c r="G63" s="11">
        <f t="shared" si="1"/>
        <v>1284.3431999999998</v>
      </c>
    </row>
    <row r="64" spans="2:7" ht="12">
      <c r="B64" s="7">
        <v>58</v>
      </c>
      <c r="C64" s="8" t="s">
        <v>216</v>
      </c>
      <c r="D64" s="8" t="s">
        <v>217</v>
      </c>
      <c r="E64" s="20">
        <v>0.581</v>
      </c>
      <c r="F64" s="10">
        <v>20.741699999999998</v>
      </c>
      <c r="G64" s="11">
        <f t="shared" si="1"/>
        <v>12.050927699999997</v>
      </c>
    </row>
    <row r="65" spans="2:7" ht="12">
      <c r="B65" s="7">
        <v>59</v>
      </c>
      <c r="C65" s="8" t="s">
        <v>218</v>
      </c>
      <c r="D65" s="8" t="s">
        <v>206</v>
      </c>
      <c r="E65" s="20">
        <v>52.633748</v>
      </c>
      <c r="F65" s="10">
        <v>28.6433</v>
      </c>
      <c r="G65" s="11">
        <f t="shared" si="1"/>
        <v>1507.6042340883998</v>
      </c>
    </row>
    <row r="66" spans="2:7" ht="12">
      <c r="B66" s="7">
        <v>60</v>
      </c>
      <c r="C66" s="8" t="s">
        <v>219</v>
      </c>
      <c r="D66" s="8" t="s">
        <v>220</v>
      </c>
      <c r="E66" s="20">
        <v>0.00366</v>
      </c>
      <c r="F66" s="10">
        <v>26752.7708</v>
      </c>
      <c r="G66" s="11">
        <f t="shared" si="1"/>
        <v>97.915141128</v>
      </c>
    </row>
    <row r="67" spans="2:7" ht="12">
      <c r="B67" s="7">
        <v>61</v>
      </c>
      <c r="C67" s="8" t="s">
        <v>221</v>
      </c>
      <c r="D67" s="8" t="s">
        <v>204</v>
      </c>
      <c r="E67" s="20">
        <v>0.00024</v>
      </c>
      <c r="F67" s="10">
        <v>37276.274</v>
      </c>
      <c r="G67" s="11">
        <f t="shared" si="1"/>
        <v>8.94630576</v>
      </c>
    </row>
    <row r="68" spans="2:7" ht="12">
      <c r="B68" s="7">
        <v>62</v>
      </c>
      <c r="C68" s="8" t="s">
        <v>222</v>
      </c>
      <c r="D68" s="8" t="s">
        <v>217</v>
      </c>
      <c r="E68" s="20">
        <v>0.209</v>
      </c>
      <c r="F68" s="10">
        <v>317.94419999999997</v>
      </c>
      <c r="G68" s="11">
        <f t="shared" si="1"/>
        <v>66.45033779999999</v>
      </c>
    </row>
    <row r="69" spans="2:7" ht="12">
      <c r="B69" s="7">
        <v>63</v>
      </c>
      <c r="C69" s="8" t="s">
        <v>223</v>
      </c>
      <c r="D69" s="8" t="s">
        <v>224</v>
      </c>
      <c r="E69" s="20">
        <v>5.31</v>
      </c>
      <c r="F69" s="10">
        <v>37.9967</v>
      </c>
      <c r="G69" s="11">
        <f t="shared" si="1"/>
        <v>201.76247699999996</v>
      </c>
    </row>
    <row r="70" spans="2:7" ht="12">
      <c r="B70" s="7">
        <v>64</v>
      </c>
      <c r="C70" s="8" t="s">
        <v>225</v>
      </c>
      <c r="D70" s="8" t="s">
        <v>204</v>
      </c>
      <c r="E70" s="20">
        <v>0.0017499</v>
      </c>
      <c r="F70" s="10">
        <v>22783.5853</v>
      </c>
      <c r="G70" s="11">
        <f t="shared" si="1"/>
        <v>39.86899591647</v>
      </c>
    </row>
    <row r="71" spans="2:7" ht="12">
      <c r="B71" s="7">
        <v>65</v>
      </c>
      <c r="C71" s="8" t="s">
        <v>226</v>
      </c>
      <c r="D71" s="8" t="s">
        <v>206</v>
      </c>
      <c r="E71" s="20">
        <v>0.00036</v>
      </c>
      <c r="F71" s="10">
        <v>1071.0594999999998</v>
      </c>
      <c r="G71" s="11">
        <f t="shared" si="1"/>
        <v>0.38558141999999995</v>
      </c>
    </row>
    <row r="72" spans="2:7" ht="24">
      <c r="B72" s="7">
        <v>66</v>
      </c>
      <c r="C72" s="8" t="s">
        <v>227</v>
      </c>
      <c r="D72" s="8" t="s">
        <v>204</v>
      </c>
      <c r="E72" s="20">
        <v>0.00070075</v>
      </c>
      <c r="F72" s="10">
        <v>79242.7664</v>
      </c>
      <c r="G72" s="11">
        <f t="shared" si="1"/>
        <v>55.529368554799994</v>
      </c>
    </row>
    <row r="73" spans="2:7" ht="24">
      <c r="B73" s="7">
        <v>67</v>
      </c>
      <c r="C73" s="8" t="s">
        <v>228</v>
      </c>
      <c r="D73" s="8" t="s">
        <v>204</v>
      </c>
      <c r="E73" s="20">
        <v>8.4E-05</v>
      </c>
      <c r="F73" s="10">
        <v>78337.7</v>
      </c>
      <c r="G73" s="11">
        <f t="shared" si="1"/>
        <v>6.580366799999999</v>
      </c>
    </row>
    <row r="74" spans="2:7" ht="24">
      <c r="B74" s="7">
        <v>68</v>
      </c>
      <c r="C74" s="8" t="s">
        <v>229</v>
      </c>
      <c r="D74" s="8" t="s">
        <v>199</v>
      </c>
      <c r="E74" s="20">
        <v>1.5</v>
      </c>
      <c r="F74" s="10">
        <v>2499.476</v>
      </c>
      <c r="G74" s="11">
        <f t="shared" si="1"/>
        <v>3749.214</v>
      </c>
    </row>
    <row r="75" spans="2:7" ht="12">
      <c r="B75" s="7">
        <v>69</v>
      </c>
      <c r="C75" s="8" t="s">
        <v>230</v>
      </c>
      <c r="D75" s="8" t="s">
        <v>204</v>
      </c>
      <c r="E75" s="20">
        <v>0.00361</v>
      </c>
      <c r="F75" s="10">
        <v>2550.4556</v>
      </c>
      <c r="G75" s="11">
        <f t="shared" si="1"/>
        <v>9.207144715999998</v>
      </c>
    </row>
    <row r="76" spans="2:7" ht="12">
      <c r="B76" s="7">
        <v>70</v>
      </c>
      <c r="C76" s="8" t="s">
        <v>231</v>
      </c>
      <c r="D76" s="8" t="s">
        <v>217</v>
      </c>
      <c r="E76" s="20">
        <v>0.00273</v>
      </c>
      <c r="F76" s="10">
        <v>12.4593</v>
      </c>
      <c r="G76" s="11">
        <f t="shared" si="1"/>
        <v>0.034013889</v>
      </c>
    </row>
    <row r="77" spans="2:7" ht="12">
      <c r="B77" s="7">
        <v>71</v>
      </c>
      <c r="C77" s="8" t="s">
        <v>232</v>
      </c>
      <c r="D77" s="8" t="s">
        <v>217</v>
      </c>
      <c r="E77" s="20">
        <v>0.408</v>
      </c>
      <c r="F77" s="10">
        <v>237.6549</v>
      </c>
      <c r="G77" s="11">
        <f t="shared" si="1"/>
        <v>96.96319919999999</v>
      </c>
    </row>
    <row r="78" spans="2:7" ht="12">
      <c r="B78" s="7">
        <v>72</v>
      </c>
      <c r="C78" s="8" t="s">
        <v>233</v>
      </c>
      <c r="D78" s="8" t="s">
        <v>224</v>
      </c>
      <c r="E78" s="20">
        <v>0.03</v>
      </c>
      <c r="F78" s="10">
        <v>43.434999999999995</v>
      </c>
      <c r="G78" s="11">
        <f t="shared" si="1"/>
        <v>1.3030499999999998</v>
      </c>
    </row>
    <row r="79" spans="2:7" ht="12">
      <c r="B79" s="7">
        <v>73</v>
      </c>
      <c r="C79" s="8" t="s">
        <v>234</v>
      </c>
      <c r="D79" s="8" t="s">
        <v>204</v>
      </c>
      <c r="E79" s="20">
        <v>0.00036</v>
      </c>
      <c r="F79" s="10">
        <v>50747.5381</v>
      </c>
      <c r="G79" s="11">
        <f t="shared" si="1"/>
        <v>18.269113716</v>
      </c>
    </row>
    <row r="80" spans="2:7" ht="12">
      <c r="B80" s="7">
        <v>74</v>
      </c>
      <c r="C80" s="8" t="s">
        <v>235</v>
      </c>
      <c r="D80" s="8" t="s">
        <v>204</v>
      </c>
      <c r="E80" s="20">
        <v>0.0029301</v>
      </c>
      <c r="F80" s="10">
        <v>52734.83809999999</v>
      </c>
      <c r="G80" s="11">
        <f t="shared" si="1"/>
        <v>154.51834911681</v>
      </c>
    </row>
    <row r="81" spans="2:7" ht="12">
      <c r="B81" s="7">
        <v>75</v>
      </c>
      <c r="C81" s="8" t="s">
        <v>236</v>
      </c>
      <c r="D81" s="8" t="s">
        <v>206</v>
      </c>
      <c r="E81" s="20">
        <v>0.2211</v>
      </c>
      <c r="F81" s="10">
        <v>61.77289999999999</v>
      </c>
      <c r="G81" s="11">
        <f aca="true" t="shared" si="2" ref="G81:G112">E81*F81</f>
        <v>13.657988189999998</v>
      </c>
    </row>
    <row r="82" spans="2:7" ht="12">
      <c r="B82" s="7">
        <v>76</v>
      </c>
      <c r="C82" s="8" t="s">
        <v>237</v>
      </c>
      <c r="D82" s="8" t="s">
        <v>199</v>
      </c>
      <c r="E82" s="20">
        <v>30</v>
      </c>
      <c r="F82" s="10">
        <v>39.9126</v>
      </c>
      <c r="G82" s="11">
        <f t="shared" si="2"/>
        <v>1197.378</v>
      </c>
    </row>
    <row r="83" spans="2:7" ht="12">
      <c r="B83" s="7">
        <v>77</v>
      </c>
      <c r="C83" s="8" t="s">
        <v>238</v>
      </c>
      <c r="D83" s="8" t="s">
        <v>204</v>
      </c>
      <c r="E83" s="20">
        <v>0.0002</v>
      </c>
      <c r="F83" s="10">
        <v>40326.101200000005</v>
      </c>
      <c r="G83" s="11">
        <f t="shared" si="2"/>
        <v>8.065220240000002</v>
      </c>
    </row>
    <row r="84" spans="2:7" ht="12">
      <c r="B84" s="7">
        <v>78</v>
      </c>
      <c r="C84" s="8" t="s">
        <v>239</v>
      </c>
      <c r="D84" s="8" t="s">
        <v>204</v>
      </c>
      <c r="E84" s="20">
        <v>0.00021</v>
      </c>
      <c r="F84" s="10">
        <v>78217.31959999999</v>
      </c>
      <c r="G84" s="11">
        <f t="shared" si="2"/>
        <v>16.425637115999997</v>
      </c>
    </row>
    <row r="85" spans="2:7" ht="12">
      <c r="B85" s="7">
        <v>79</v>
      </c>
      <c r="C85" s="8" t="s">
        <v>240</v>
      </c>
      <c r="D85" s="8" t="s">
        <v>204</v>
      </c>
      <c r="E85" s="20">
        <v>0.001615</v>
      </c>
      <c r="F85" s="10">
        <v>39962.984599999996</v>
      </c>
      <c r="G85" s="11">
        <f t="shared" si="2"/>
        <v>64.54022012899999</v>
      </c>
    </row>
    <row r="86" spans="2:7" ht="12">
      <c r="B86" s="7">
        <v>80</v>
      </c>
      <c r="C86" s="8" t="s">
        <v>241</v>
      </c>
      <c r="D86" s="8" t="s">
        <v>224</v>
      </c>
      <c r="E86" s="20">
        <v>0.155</v>
      </c>
      <c r="F86" s="10">
        <v>22.764699999999998</v>
      </c>
      <c r="G86" s="11">
        <f t="shared" si="2"/>
        <v>3.5285284999999997</v>
      </c>
    </row>
    <row r="87" spans="2:7" ht="12">
      <c r="B87" s="7">
        <v>81</v>
      </c>
      <c r="C87" s="8" t="s">
        <v>242</v>
      </c>
      <c r="D87" s="8" t="s">
        <v>217</v>
      </c>
      <c r="E87" s="20">
        <v>52.1914</v>
      </c>
      <c r="F87" s="10">
        <v>46.0173</v>
      </c>
      <c r="G87" s="11">
        <f t="shared" si="2"/>
        <v>2401.70731122</v>
      </c>
    </row>
    <row r="88" spans="2:7" ht="12">
      <c r="B88" s="7">
        <v>82</v>
      </c>
      <c r="C88" s="8" t="s">
        <v>243</v>
      </c>
      <c r="D88" s="8" t="s">
        <v>204</v>
      </c>
      <c r="E88" s="20">
        <v>3E-05</v>
      </c>
      <c r="F88" s="10">
        <v>41532.666</v>
      </c>
      <c r="G88" s="11">
        <f t="shared" si="2"/>
        <v>1.24597998</v>
      </c>
    </row>
    <row r="89" spans="2:7" ht="12">
      <c r="B89" s="7">
        <v>83</v>
      </c>
      <c r="C89" s="8" t="s">
        <v>244</v>
      </c>
      <c r="D89" s="8" t="s">
        <v>217</v>
      </c>
      <c r="E89" s="20">
        <v>2.109</v>
      </c>
      <c r="F89" s="10">
        <v>58.750299999999996</v>
      </c>
      <c r="G89" s="11">
        <f t="shared" si="2"/>
        <v>123.90438269999999</v>
      </c>
    </row>
    <row r="90" spans="2:7" ht="24">
      <c r="B90" s="7">
        <v>84</v>
      </c>
      <c r="C90" s="8" t="s">
        <v>245</v>
      </c>
      <c r="D90" s="8" t="s">
        <v>217</v>
      </c>
      <c r="E90" s="20">
        <v>6</v>
      </c>
      <c r="F90" s="10">
        <v>116.02499999999999</v>
      </c>
      <c r="G90" s="11">
        <f t="shared" si="2"/>
        <v>696.15</v>
      </c>
    </row>
    <row r="91" spans="2:7" ht="36">
      <c r="B91" s="7">
        <v>85</v>
      </c>
      <c r="C91" s="8" t="s">
        <v>246</v>
      </c>
      <c r="D91" s="8" t="s">
        <v>204</v>
      </c>
      <c r="E91" s="20">
        <v>0.00544</v>
      </c>
      <c r="F91" s="10">
        <v>31272.5693</v>
      </c>
      <c r="G91" s="11">
        <f t="shared" si="2"/>
        <v>170.122776992</v>
      </c>
    </row>
    <row r="92" spans="2:7" ht="24">
      <c r="B92" s="7">
        <v>86</v>
      </c>
      <c r="C92" s="8" t="s">
        <v>247</v>
      </c>
      <c r="D92" s="8" t="s">
        <v>204</v>
      </c>
      <c r="E92" s="20">
        <v>5E-05</v>
      </c>
      <c r="F92" s="10">
        <v>326718.8197</v>
      </c>
      <c r="G92" s="11">
        <f t="shared" si="2"/>
        <v>16.335940985</v>
      </c>
    </row>
    <row r="93" spans="2:7" ht="12">
      <c r="B93" s="7">
        <v>87</v>
      </c>
      <c r="C93" s="8" t="s">
        <v>248</v>
      </c>
      <c r="D93" s="8" t="s">
        <v>217</v>
      </c>
      <c r="E93" s="20">
        <v>0.146</v>
      </c>
      <c r="F93" s="10">
        <v>62.3441</v>
      </c>
      <c r="G93" s="11">
        <f t="shared" si="2"/>
        <v>9.1022386</v>
      </c>
    </row>
    <row r="94" spans="2:7" ht="12">
      <c r="B94" s="7">
        <v>88</v>
      </c>
      <c r="C94" s="8" t="s">
        <v>249</v>
      </c>
      <c r="D94" s="8" t="s">
        <v>204</v>
      </c>
      <c r="E94" s="20">
        <v>7.2E-05</v>
      </c>
      <c r="F94" s="10">
        <v>60639.5321</v>
      </c>
      <c r="G94" s="11">
        <f t="shared" si="2"/>
        <v>4.3660463112</v>
      </c>
    </row>
    <row r="95" spans="2:7" ht="12">
      <c r="B95" s="7">
        <v>89</v>
      </c>
      <c r="C95" s="8" t="s">
        <v>250</v>
      </c>
      <c r="D95" s="8" t="s">
        <v>204</v>
      </c>
      <c r="E95" s="20">
        <v>0.396</v>
      </c>
      <c r="F95" s="10">
        <v>26056.2043</v>
      </c>
      <c r="G95" s="11">
        <f t="shared" si="2"/>
        <v>10318.256902800002</v>
      </c>
    </row>
    <row r="96" spans="2:7" ht="12">
      <c r="B96" s="7">
        <v>90</v>
      </c>
      <c r="C96" s="8" t="s">
        <v>251</v>
      </c>
      <c r="D96" s="8" t="s">
        <v>217</v>
      </c>
      <c r="E96" s="20">
        <v>0.45</v>
      </c>
      <c r="F96" s="10">
        <v>125.6164</v>
      </c>
      <c r="G96" s="11">
        <f t="shared" si="2"/>
        <v>56.52738</v>
      </c>
    </row>
    <row r="97" spans="2:7" ht="24">
      <c r="B97" s="7">
        <v>91</v>
      </c>
      <c r="C97" s="8" t="s">
        <v>252</v>
      </c>
      <c r="D97" s="8" t="s">
        <v>204</v>
      </c>
      <c r="E97" s="20">
        <v>0.0006501</v>
      </c>
      <c r="F97" s="10">
        <v>59302.8051</v>
      </c>
      <c r="G97" s="11">
        <f t="shared" si="2"/>
        <v>38.55275359551</v>
      </c>
    </row>
    <row r="98" spans="2:7" ht="12">
      <c r="B98" s="7">
        <v>92</v>
      </c>
      <c r="C98" s="8" t="s">
        <v>253</v>
      </c>
      <c r="D98" s="8" t="s">
        <v>204</v>
      </c>
      <c r="E98" s="20">
        <v>0.1905</v>
      </c>
      <c r="F98" s="10">
        <v>39254.803700000004</v>
      </c>
      <c r="G98" s="11">
        <f t="shared" si="2"/>
        <v>7478.040104850001</v>
      </c>
    </row>
    <row r="99" spans="2:7" ht="12">
      <c r="B99" s="7">
        <v>93</v>
      </c>
      <c r="C99" s="8" t="s">
        <v>254</v>
      </c>
      <c r="D99" s="8" t="s">
        <v>204</v>
      </c>
      <c r="E99" s="20">
        <v>0.000155</v>
      </c>
      <c r="F99" s="10">
        <v>71280.0242</v>
      </c>
      <c r="G99" s="11">
        <f t="shared" si="2"/>
        <v>11.048403751</v>
      </c>
    </row>
    <row r="100" spans="2:7" ht="24">
      <c r="B100" s="7">
        <v>94</v>
      </c>
      <c r="C100" s="8" t="s">
        <v>255</v>
      </c>
      <c r="D100" s="8" t="s">
        <v>206</v>
      </c>
      <c r="E100" s="20">
        <v>0.01064</v>
      </c>
      <c r="F100" s="10">
        <v>2333.4114999999997</v>
      </c>
      <c r="G100" s="11">
        <f t="shared" si="2"/>
        <v>24.827498359999996</v>
      </c>
    </row>
    <row r="101" spans="2:7" ht="12">
      <c r="B101" s="7">
        <v>95</v>
      </c>
      <c r="C101" s="8" t="s">
        <v>256</v>
      </c>
      <c r="D101" s="8" t="s">
        <v>199</v>
      </c>
      <c r="E101" s="20">
        <v>645.8</v>
      </c>
      <c r="F101" s="10">
        <v>3.7960999999999996</v>
      </c>
      <c r="G101" s="11">
        <f t="shared" si="2"/>
        <v>2451.5213799999997</v>
      </c>
    </row>
    <row r="102" spans="2:7" ht="12">
      <c r="B102" s="7">
        <v>96</v>
      </c>
      <c r="C102" s="8" t="s">
        <v>257</v>
      </c>
      <c r="D102" s="8" t="s">
        <v>217</v>
      </c>
      <c r="E102" s="20">
        <v>9.3192</v>
      </c>
      <c r="F102" s="10">
        <v>176.02479999999997</v>
      </c>
      <c r="G102" s="11">
        <f t="shared" si="2"/>
        <v>1640.4103161599999</v>
      </c>
    </row>
    <row r="103" spans="2:7" ht="12">
      <c r="B103" s="7">
        <v>97</v>
      </c>
      <c r="C103" s="8" t="s">
        <v>258</v>
      </c>
      <c r="D103" s="8" t="s">
        <v>217</v>
      </c>
      <c r="E103" s="20">
        <v>0.475</v>
      </c>
      <c r="F103" s="10">
        <v>35.319199999999995</v>
      </c>
      <c r="G103" s="11">
        <f t="shared" si="2"/>
        <v>16.776619999999998</v>
      </c>
    </row>
    <row r="104" spans="2:7" ht="24">
      <c r="B104" s="7">
        <v>98</v>
      </c>
      <c r="C104" s="8" t="s">
        <v>259</v>
      </c>
      <c r="D104" s="8" t="s">
        <v>204</v>
      </c>
      <c r="E104" s="20">
        <v>0.000122</v>
      </c>
      <c r="F104" s="10">
        <v>340343.0821</v>
      </c>
      <c r="G104" s="11">
        <f t="shared" si="2"/>
        <v>41.5218560162</v>
      </c>
    </row>
    <row r="105" spans="2:7" ht="12">
      <c r="B105" s="7">
        <v>99</v>
      </c>
      <c r="C105" s="8" t="s">
        <v>260</v>
      </c>
      <c r="D105" s="8" t="s">
        <v>199</v>
      </c>
      <c r="E105" s="20">
        <v>30</v>
      </c>
      <c r="F105" s="10">
        <v>65.02159999999999</v>
      </c>
      <c r="G105" s="11">
        <f t="shared" si="2"/>
        <v>1950.6479999999997</v>
      </c>
    </row>
    <row r="106" spans="2:7" ht="12">
      <c r="B106" s="7">
        <v>100</v>
      </c>
      <c r="C106" s="8" t="s">
        <v>261</v>
      </c>
      <c r="D106" s="8" t="s">
        <v>204</v>
      </c>
      <c r="E106" s="20">
        <v>0.000106</v>
      </c>
      <c r="F106" s="10">
        <v>36366.5904</v>
      </c>
      <c r="G106" s="11">
        <f t="shared" si="2"/>
        <v>3.8548585824000003</v>
      </c>
    </row>
    <row r="107" spans="2:7" ht="12">
      <c r="B107" s="7">
        <v>101</v>
      </c>
      <c r="C107" s="8" t="s">
        <v>262</v>
      </c>
      <c r="D107" s="8" t="s">
        <v>217</v>
      </c>
      <c r="E107" s="20">
        <v>5.22315</v>
      </c>
      <c r="F107" s="10">
        <v>107.4451</v>
      </c>
      <c r="G107" s="11">
        <f t="shared" si="2"/>
        <v>561.201874065</v>
      </c>
    </row>
    <row r="108" spans="2:7" ht="12">
      <c r="B108" s="7">
        <v>102</v>
      </c>
      <c r="C108" s="8" t="s">
        <v>263</v>
      </c>
      <c r="D108" s="8" t="s">
        <v>217</v>
      </c>
      <c r="E108" s="20">
        <v>0.0976</v>
      </c>
      <c r="F108" s="10">
        <v>58.750299999999996</v>
      </c>
      <c r="G108" s="11">
        <f t="shared" si="2"/>
        <v>5.73402928</v>
      </c>
    </row>
    <row r="109" spans="2:7" ht="12">
      <c r="B109" s="7">
        <v>103</v>
      </c>
      <c r="C109" s="8" t="s">
        <v>264</v>
      </c>
      <c r="D109" s="8" t="s">
        <v>217</v>
      </c>
      <c r="E109" s="20">
        <v>0.141</v>
      </c>
      <c r="F109" s="10">
        <v>61.4397</v>
      </c>
      <c r="G109" s="11">
        <f t="shared" si="2"/>
        <v>8.6629977</v>
      </c>
    </row>
    <row r="110" spans="2:7" ht="12">
      <c r="B110" s="7">
        <v>104</v>
      </c>
      <c r="C110" s="8" t="s">
        <v>265</v>
      </c>
      <c r="D110" s="8" t="s">
        <v>204</v>
      </c>
      <c r="E110" s="20">
        <v>2.5E-05</v>
      </c>
      <c r="F110" s="10">
        <v>191386.629</v>
      </c>
      <c r="G110" s="11">
        <f t="shared" si="2"/>
        <v>4.784665725</v>
      </c>
    </row>
    <row r="111" spans="2:7" ht="12">
      <c r="B111" s="7">
        <v>105</v>
      </c>
      <c r="C111" s="8" t="s">
        <v>266</v>
      </c>
      <c r="D111" s="8" t="s">
        <v>204</v>
      </c>
      <c r="E111" s="20">
        <v>0.021375</v>
      </c>
      <c r="F111" s="10">
        <v>7450.3996</v>
      </c>
      <c r="G111" s="11">
        <f t="shared" si="2"/>
        <v>159.25229145</v>
      </c>
    </row>
    <row r="112" spans="2:7" ht="24">
      <c r="B112" s="7">
        <v>106</v>
      </c>
      <c r="C112" s="8" t="s">
        <v>267</v>
      </c>
      <c r="D112" s="8" t="s">
        <v>206</v>
      </c>
      <c r="E112" s="20">
        <v>0.00023762</v>
      </c>
      <c r="F112" s="10">
        <v>713.8096</v>
      </c>
      <c r="G112" s="11">
        <f t="shared" si="2"/>
        <v>0.169615437152</v>
      </c>
    </row>
    <row r="113" spans="2:7" ht="12">
      <c r="B113" s="7">
        <v>107</v>
      </c>
      <c r="C113" s="8" t="s">
        <v>268</v>
      </c>
      <c r="D113" s="8" t="s">
        <v>204</v>
      </c>
      <c r="E113" s="20">
        <v>0.1125</v>
      </c>
      <c r="F113" s="10">
        <v>45366.90549999999</v>
      </c>
      <c r="G113" s="11">
        <f aca="true" t="shared" si="3" ref="G113:G144">E113*F113</f>
        <v>5103.776868749999</v>
      </c>
    </row>
    <row r="114" spans="2:7" ht="12">
      <c r="B114" s="7">
        <v>108</v>
      </c>
      <c r="C114" s="8" t="s">
        <v>269</v>
      </c>
      <c r="D114" s="8" t="s">
        <v>217</v>
      </c>
      <c r="E114" s="20">
        <v>0.312</v>
      </c>
      <c r="F114" s="10">
        <v>162.44689999999997</v>
      </c>
      <c r="G114" s="11">
        <f t="shared" si="3"/>
        <v>50.68343279999999</v>
      </c>
    </row>
    <row r="115" spans="2:7" ht="12">
      <c r="B115" s="7">
        <v>109</v>
      </c>
      <c r="C115" s="8" t="s">
        <v>270</v>
      </c>
      <c r="D115" s="8" t="s">
        <v>204</v>
      </c>
      <c r="E115" s="20">
        <v>3E-05</v>
      </c>
      <c r="F115" s="10">
        <v>55551.234899999996</v>
      </c>
      <c r="G115" s="11">
        <f t="shared" si="3"/>
        <v>1.6665370469999998</v>
      </c>
    </row>
    <row r="116" spans="2:7" ht="12">
      <c r="B116" s="7">
        <v>110</v>
      </c>
      <c r="C116" s="8" t="s">
        <v>271</v>
      </c>
      <c r="D116" s="8" t="s">
        <v>199</v>
      </c>
      <c r="E116" s="20">
        <v>4</v>
      </c>
      <c r="F116" s="10">
        <v>856.7643</v>
      </c>
      <c r="G116" s="11">
        <f t="shared" si="3"/>
        <v>3427.0572</v>
      </c>
    </row>
    <row r="117" spans="2:7" ht="12">
      <c r="B117" s="7">
        <v>111</v>
      </c>
      <c r="C117" s="8" t="s">
        <v>272</v>
      </c>
      <c r="D117" s="8" t="s">
        <v>217</v>
      </c>
      <c r="E117" s="20">
        <v>0.005</v>
      </c>
      <c r="F117" s="10">
        <v>183.08149999999998</v>
      </c>
      <c r="G117" s="11">
        <f t="shared" si="3"/>
        <v>0.9154074999999999</v>
      </c>
    </row>
    <row r="118" spans="2:7" ht="12">
      <c r="B118" s="7">
        <v>112</v>
      </c>
      <c r="C118" s="8" t="s">
        <v>273</v>
      </c>
      <c r="D118" s="8" t="s">
        <v>274</v>
      </c>
      <c r="E118" s="20">
        <v>0.0306</v>
      </c>
      <c r="F118" s="21">
        <v>2373.24</v>
      </c>
      <c r="G118" s="11">
        <f t="shared" si="3"/>
        <v>72.62114399999999</v>
      </c>
    </row>
    <row r="119" spans="2:7" ht="12">
      <c r="B119" s="7">
        <v>113</v>
      </c>
      <c r="C119" s="8" t="s">
        <v>275</v>
      </c>
      <c r="D119" s="8" t="s">
        <v>204</v>
      </c>
      <c r="E119" s="20">
        <v>0.0001404</v>
      </c>
      <c r="F119" s="10">
        <v>42258.70879999999</v>
      </c>
      <c r="G119" s="11">
        <f t="shared" si="3"/>
        <v>5.933122715519999</v>
      </c>
    </row>
    <row r="120" spans="2:7" ht="24">
      <c r="B120" s="7">
        <v>114</v>
      </c>
      <c r="C120" s="8" t="s">
        <v>276</v>
      </c>
      <c r="D120" s="8" t="s">
        <v>204</v>
      </c>
      <c r="E120" s="20">
        <v>4E-05</v>
      </c>
      <c r="F120" s="10">
        <v>52870.7242</v>
      </c>
      <c r="G120" s="11">
        <f t="shared" si="3"/>
        <v>2.114828968</v>
      </c>
    </row>
    <row r="121" spans="2:7" ht="12">
      <c r="B121" s="7">
        <v>115</v>
      </c>
      <c r="C121" s="8" t="s">
        <v>277</v>
      </c>
      <c r="D121" s="8" t="s">
        <v>220</v>
      </c>
      <c r="E121" s="20">
        <v>0.005</v>
      </c>
      <c r="F121" s="10">
        <v>17823.8676</v>
      </c>
      <c r="G121" s="11">
        <f t="shared" si="3"/>
        <v>89.11933800000001</v>
      </c>
    </row>
    <row r="122" spans="2:7" ht="12">
      <c r="B122" s="7">
        <v>116</v>
      </c>
      <c r="C122" s="8" t="s">
        <v>278</v>
      </c>
      <c r="D122" s="8" t="s">
        <v>206</v>
      </c>
      <c r="E122" s="20">
        <v>1.65</v>
      </c>
      <c r="F122" s="10">
        <v>2785.0046</v>
      </c>
      <c r="G122" s="11">
        <f t="shared" si="3"/>
        <v>4595.25759</v>
      </c>
    </row>
    <row r="123" spans="2:7" ht="12">
      <c r="B123" s="7">
        <v>117</v>
      </c>
      <c r="C123" s="8" t="s">
        <v>279</v>
      </c>
      <c r="D123" s="8" t="s">
        <v>206</v>
      </c>
      <c r="E123" s="20">
        <v>0.0023</v>
      </c>
      <c r="F123" s="10">
        <v>2742.9024</v>
      </c>
      <c r="G123" s="11">
        <f t="shared" si="3"/>
        <v>6.3086755199999995</v>
      </c>
    </row>
    <row r="124" spans="2:7" ht="12">
      <c r="B124" s="7">
        <v>118</v>
      </c>
      <c r="C124" s="8" t="s">
        <v>280</v>
      </c>
      <c r="D124" s="8" t="s">
        <v>206</v>
      </c>
      <c r="E124" s="20">
        <v>0.51</v>
      </c>
      <c r="F124" s="10">
        <v>2482.8041</v>
      </c>
      <c r="G124" s="11">
        <f t="shared" si="3"/>
        <v>1266.230091</v>
      </c>
    </row>
    <row r="125" spans="2:7" ht="12">
      <c r="B125" s="7">
        <v>119</v>
      </c>
      <c r="C125" s="8" t="s">
        <v>281</v>
      </c>
      <c r="D125" s="8" t="s">
        <v>206</v>
      </c>
      <c r="E125" s="20">
        <v>0.001</v>
      </c>
      <c r="F125" s="10">
        <v>3879.2452999999996</v>
      </c>
      <c r="G125" s="11">
        <f t="shared" si="3"/>
        <v>3.8792452999999996</v>
      </c>
    </row>
    <row r="126" spans="2:7" ht="12">
      <c r="B126" s="7">
        <v>120</v>
      </c>
      <c r="C126" s="8" t="s">
        <v>282</v>
      </c>
      <c r="D126" s="8" t="s">
        <v>204</v>
      </c>
      <c r="E126" s="20">
        <v>0.0012501</v>
      </c>
      <c r="F126" s="10">
        <v>61795.867</v>
      </c>
      <c r="G126" s="11">
        <f t="shared" si="3"/>
        <v>77.2510133367</v>
      </c>
    </row>
    <row r="127" spans="2:7" ht="12">
      <c r="B127" s="7">
        <v>121</v>
      </c>
      <c r="C127" s="8" t="s">
        <v>283</v>
      </c>
      <c r="D127" s="8" t="s">
        <v>199</v>
      </c>
      <c r="E127" s="20">
        <v>0.25</v>
      </c>
      <c r="F127" s="10">
        <v>135.9932</v>
      </c>
      <c r="G127" s="11">
        <f t="shared" si="3"/>
        <v>33.9983</v>
      </c>
    </row>
    <row r="128" spans="2:7" ht="12">
      <c r="B128" s="7">
        <v>122</v>
      </c>
      <c r="C128" s="8" t="s">
        <v>284</v>
      </c>
      <c r="D128" s="8" t="s">
        <v>199</v>
      </c>
      <c r="E128" s="20">
        <v>0.25</v>
      </c>
      <c r="F128" s="10">
        <v>15463.609699999999</v>
      </c>
      <c r="G128" s="11">
        <f t="shared" si="3"/>
        <v>3865.9024249999998</v>
      </c>
    </row>
    <row r="129" spans="2:7" ht="12">
      <c r="B129" s="7">
        <v>123</v>
      </c>
      <c r="C129" s="8" t="s">
        <v>285</v>
      </c>
      <c r="D129" s="8" t="s">
        <v>217</v>
      </c>
      <c r="E129" s="20">
        <v>0.8</v>
      </c>
      <c r="F129" s="10">
        <v>89.2262</v>
      </c>
      <c r="G129" s="11">
        <f t="shared" si="3"/>
        <v>71.38096</v>
      </c>
    </row>
    <row r="130" spans="2:7" ht="12">
      <c r="B130" s="7">
        <v>124</v>
      </c>
      <c r="C130" s="8" t="s">
        <v>286</v>
      </c>
      <c r="D130" s="8" t="s">
        <v>217</v>
      </c>
      <c r="E130" s="20">
        <v>0.05</v>
      </c>
      <c r="F130" s="10">
        <v>259.47950000000003</v>
      </c>
      <c r="G130" s="11">
        <f t="shared" si="3"/>
        <v>12.973975000000003</v>
      </c>
    </row>
    <row r="131" spans="2:7" ht="12">
      <c r="B131" s="7">
        <v>125</v>
      </c>
      <c r="C131" s="8" t="s">
        <v>287</v>
      </c>
      <c r="D131" s="8" t="s">
        <v>224</v>
      </c>
      <c r="E131" s="20">
        <v>138</v>
      </c>
      <c r="F131" s="10">
        <v>11.6382</v>
      </c>
      <c r="G131" s="11">
        <f t="shared" si="3"/>
        <v>1606.0716</v>
      </c>
    </row>
    <row r="132" spans="2:7" ht="12">
      <c r="B132" s="7">
        <v>126</v>
      </c>
      <c r="C132" s="8" t="s">
        <v>288</v>
      </c>
      <c r="D132" s="8" t="s">
        <v>199</v>
      </c>
      <c r="E132" s="20">
        <v>1.83</v>
      </c>
      <c r="F132" s="10">
        <v>15.4343</v>
      </c>
      <c r="G132" s="11">
        <f t="shared" si="3"/>
        <v>28.244769</v>
      </c>
    </row>
    <row r="133" spans="2:7" ht="12">
      <c r="B133" s="7">
        <v>127</v>
      </c>
      <c r="C133" s="8" t="s">
        <v>289</v>
      </c>
      <c r="D133" s="8" t="s">
        <v>217</v>
      </c>
      <c r="E133" s="20">
        <v>0.294</v>
      </c>
      <c r="F133" s="10">
        <v>37.8777</v>
      </c>
      <c r="G133" s="11">
        <f t="shared" si="3"/>
        <v>11.136043799999998</v>
      </c>
    </row>
    <row r="134" spans="2:7" ht="24">
      <c r="B134" s="7">
        <v>128</v>
      </c>
      <c r="C134" s="8" t="s">
        <v>290</v>
      </c>
      <c r="D134" s="8" t="s">
        <v>204</v>
      </c>
      <c r="E134" s="20">
        <v>0.00024</v>
      </c>
      <c r="F134" s="10">
        <v>174718.87019999998</v>
      </c>
      <c r="G134" s="11">
        <f t="shared" si="3"/>
        <v>41.932528848</v>
      </c>
    </row>
    <row r="135" spans="2:7" ht="24">
      <c r="B135" s="7">
        <v>129</v>
      </c>
      <c r="C135" s="8" t="s">
        <v>291</v>
      </c>
      <c r="D135" s="8" t="s">
        <v>204</v>
      </c>
      <c r="E135" s="20">
        <v>0.0003</v>
      </c>
      <c r="F135" s="10">
        <v>176273.2482</v>
      </c>
      <c r="G135" s="11">
        <f t="shared" si="3"/>
        <v>52.881974459999995</v>
      </c>
    </row>
    <row r="136" spans="2:7" ht="12">
      <c r="B136" s="7">
        <v>130</v>
      </c>
      <c r="C136" s="8" t="s">
        <v>292</v>
      </c>
      <c r="D136" s="8" t="s">
        <v>204</v>
      </c>
      <c r="E136" s="20">
        <v>0.01038</v>
      </c>
      <c r="F136" s="10">
        <v>29779.3811</v>
      </c>
      <c r="G136" s="11">
        <f t="shared" si="3"/>
        <v>309.109975818</v>
      </c>
    </row>
    <row r="137" spans="2:7" ht="24">
      <c r="B137" s="7">
        <v>131</v>
      </c>
      <c r="C137" s="8" t="s">
        <v>293</v>
      </c>
      <c r="D137" s="8" t="s">
        <v>224</v>
      </c>
      <c r="E137" s="20">
        <v>0.68666667</v>
      </c>
      <c r="F137" s="10">
        <v>191.0188</v>
      </c>
      <c r="G137" s="11">
        <f t="shared" si="3"/>
        <v>131.16624330339602</v>
      </c>
    </row>
    <row r="138" spans="2:7" ht="12">
      <c r="B138" s="7">
        <v>132</v>
      </c>
      <c r="C138" s="8" t="s">
        <v>294</v>
      </c>
      <c r="D138" s="8" t="s">
        <v>204</v>
      </c>
      <c r="E138" s="20">
        <v>1E-05</v>
      </c>
      <c r="F138" s="10">
        <v>41189.505699999994</v>
      </c>
      <c r="G138" s="11">
        <f t="shared" si="3"/>
        <v>0.41189505699999995</v>
      </c>
    </row>
    <row r="139" spans="2:7" ht="12">
      <c r="B139" s="7">
        <v>133</v>
      </c>
      <c r="C139" s="8" t="s">
        <v>295</v>
      </c>
      <c r="D139" s="8" t="s">
        <v>204</v>
      </c>
      <c r="E139" s="20">
        <v>0.0002442</v>
      </c>
      <c r="F139" s="10">
        <v>105713.1145</v>
      </c>
      <c r="G139" s="11">
        <f t="shared" si="3"/>
        <v>25.815142560900004</v>
      </c>
    </row>
    <row r="140" spans="2:7" ht="12">
      <c r="B140" s="7">
        <v>134</v>
      </c>
      <c r="C140" s="8" t="s">
        <v>296</v>
      </c>
      <c r="D140" s="8" t="s">
        <v>204</v>
      </c>
      <c r="E140" s="20">
        <v>0.00033</v>
      </c>
      <c r="F140" s="10">
        <v>7101.3726</v>
      </c>
      <c r="G140" s="11">
        <f t="shared" si="3"/>
        <v>2.343452958</v>
      </c>
    </row>
    <row r="141" spans="2:7" ht="12">
      <c r="B141" s="7">
        <v>135</v>
      </c>
      <c r="C141" s="8" t="s">
        <v>297</v>
      </c>
      <c r="D141" s="8" t="s">
        <v>298</v>
      </c>
      <c r="E141" s="20">
        <v>2.3298</v>
      </c>
      <c r="F141" s="10">
        <v>255.55249999999998</v>
      </c>
      <c r="G141" s="11">
        <f t="shared" si="3"/>
        <v>595.3862144999999</v>
      </c>
    </row>
    <row r="142" spans="2:7" ht="36">
      <c r="B142" s="7">
        <v>136</v>
      </c>
      <c r="C142" s="8" t="s">
        <v>299</v>
      </c>
      <c r="D142" s="8" t="s">
        <v>204</v>
      </c>
      <c r="E142" s="20">
        <v>0.0006</v>
      </c>
      <c r="F142" s="10">
        <v>27909.605499999998</v>
      </c>
      <c r="G142" s="11">
        <f t="shared" si="3"/>
        <v>16.745763299999997</v>
      </c>
    </row>
    <row r="143" spans="2:7" ht="12">
      <c r="B143" s="7">
        <v>137</v>
      </c>
      <c r="C143" s="8" t="s">
        <v>300</v>
      </c>
      <c r="D143" s="8" t="s">
        <v>301</v>
      </c>
      <c r="E143" s="20">
        <v>8</v>
      </c>
      <c r="F143" s="10">
        <v>177.2267</v>
      </c>
      <c r="G143" s="11">
        <f t="shared" si="3"/>
        <v>1417.8136</v>
      </c>
    </row>
    <row r="144" spans="2:7" ht="12">
      <c r="B144" s="7">
        <v>138</v>
      </c>
      <c r="C144" s="8" t="s">
        <v>302</v>
      </c>
      <c r="D144" s="8" t="s">
        <v>301</v>
      </c>
      <c r="E144" s="20">
        <v>12.2</v>
      </c>
      <c r="F144" s="10">
        <v>230.6934</v>
      </c>
      <c r="G144" s="11">
        <f t="shared" si="3"/>
        <v>2814.45948</v>
      </c>
    </row>
    <row r="145" spans="2:7" ht="24">
      <c r="B145" s="7">
        <v>139</v>
      </c>
      <c r="C145" s="8" t="s">
        <v>303</v>
      </c>
      <c r="D145" s="8" t="s">
        <v>301</v>
      </c>
      <c r="E145" s="20">
        <v>9.98</v>
      </c>
      <c r="F145" s="10">
        <v>115.51329999999999</v>
      </c>
      <c r="G145" s="11">
        <f aca="true" t="shared" si="4" ref="G145:G159">E145*F145</f>
        <v>1152.8227339999999</v>
      </c>
    </row>
    <row r="146" spans="2:7" ht="24">
      <c r="B146" s="7">
        <v>140</v>
      </c>
      <c r="C146" s="8" t="s">
        <v>304</v>
      </c>
      <c r="D146" s="8" t="s">
        <v>301</v>
      </c>
      <c r="E146" s="20">
        <v>9.98</v>
      </c>
      <c r="F146" s="10">
        <v>206.4174</v>
      </c>
      <c r="G146" s="11">
        <f t="shared" si="4"/>
        <v>2060.045652</v>
      </c>
    </row>
    <row r="147" spans="2:7" ht="36">
      <c r="B147" s="7">
        <v>141</v>
      </c>
      <c r="C147" s="8" t="s">
        <v>305</v>
      </c>
      <c r="D147" s="8" t="s">
        <v>301</v>
      </c>
      <c r="E147" s="20">
        <v>0</v>
      </c>
      <c r="F147" s="10">
        <v>117.67909999999999</v>
      </c>
      <c r="G147" s="11">
        <f t="shared" si="4"/>
        <v>0</v>
      </c>
    </row>
    <row r="148" spans="2:7" ht="36">
      <c r="B148" s="7">
        <v>142</v>
      </c>
      <c r="C148" s="8" t="s">
        <v>306</v>
      </c>
      <c r="D148" s="8" t="s">
        <v>301</v>
      </c>
      <c r="E148" s="20">
        <v>22</v>
      </c>
      <c r="F148" s="10">
        <v>152.8079</v>
      </c>
      <c r="G148" s="11">
        <f t="shared" si="4"/>
        <v>3361.7738</v>
      </c>
    </row>
    <row r="149" spans="2:7" ht="36">
      <c r="B149" s="7">
        <v>143</v>
      </c>
      <c r="C149" s="8" t="s">
        <v>307</v>
      </c>
      <c r="D149" s="8" t="s">
        <v>301</v>
      </c>
      <c r="E149" s="20">
        <v>10</v>
      </c>
      <c r="F149" s="10">
        <v>237.9405</v>
      </c>
      <c r="G149" s="11">
        <f t="shared" si="4"/>
        <v>2379.4049999999997</v>
      </c>
    </row>
    <row r="150" spans="2:7" ht="36">
      <c r="B150" s="7">
        <v>144</v>
      </c>
      <c r="C150" s="8" t="s">
        <v>308</v>
      </c>
      <c r="D150" s="8" t="s">
        <v>301</v>
      </c>
      <c r="E150" s="20">
        <v>10</v>
      </c>
      <c r="F150" s="10">
        <v>249.80479999999997</v>
      </c>
      <c r="G150" s="11">
        <f t="shared" si="4"/>
        <v>2498.048</v>
      </c>
    </row>
    <row r="151" spans="2:7" ht="36">
      <c r="B151" s="7">
        <v>145</v>
      </c>
      <c r="C151" s="8" t="s">
        <v>309</v>
      </c>
      <c r="D151" s="8" t="s">
        <v>301</v>
      </c>
      <c r="E151" s="20">
        <v>12</v>
      </c>
      <c r="F151" s="10">
        <v>429.1259</v>
      </c>
      <c r="G151" s="11">
        <f t="shared" si="4"/>
        <v>5149.5108</v>
      </c>
    </row>
    <row r="152" spans="2:7" ht="36">
      <c r="B152" s="7">
        <v>146</v>
      </c>
      <c r="C152" s="8" t="s">
        <v>310</v>
      </c>
      <c r="D152" s="8" t="s">
        <v>301</v>
      </c>
      <c r="E152" s="20">
        <v>3</v>
      </c>
      <c r="F152" s="10">
        <v>350.5383</v>
      </c>
      <c r="G152" s="11">
        <f t="shared" si="4"/>
        <v>1051.6149</v>
      </c>
    </row>
    <row r="153" spans="2:7" ht="36">
      <c r="B153" s="7">
        <v>147</v>
      </c>
      <c r="C153" s="8" t="s">
        <v>311</v>
      </c>
      <c r="D153" s="8" t="s">
        <v>301</v>
      </c>
      <c r="E153" s="20">
        <v>21</v>
      </c>
      <c r="F153" s="10">
        <v>50.8249</v>
      </c>
      <c r="G153" s="11">
        <f t="shared" si="4"/>
        <v>1067.3229</v>
      </c>
    </row>
    <row r="154" spans="2:7" ht="36">
      <c r="B154" s="7">
        <v>148</v>
      </c>
      <c r="C154" s="8" t="s">
        <v>312</v>
      </c>
      <c r="D154" s="8" t="s">
        <v>301</v>
      </c>
      <c r="E154" s="20">
        <v>12.5</v>
      </c>
      <c r="F154" s="10">
        <v>95.55699999999999</v>
      </c>
      <c r="G154" s="11">
        <f t="shared" si="4"/>
        <v>1194.4624999999999</v>
      </c>
    </row>
    <row r="155" spans="2:7" ht="12">
      <c r="B155" s="7">
        <v>149</v>
      </c>
      <c r="C155" s="8" t="s">
        <v>313</v>
      </c>
      <c r="D155" s="8" t="s">
        <v>224</v>
      </c>
      <c r="E155" s="20">
        <v>0.1154</v>
      </c>
      <c r="F155" s="10">
        <v>237.0718</v>
      </c>
      <c r="G155" s="11">
        <f t="shared" si="4"/>
        <v>27.358085720000002</v>
      </c>
    </row>
    <row r="156" spans="2:7" ht="12">
      <c r="B156" s="7">
        <v>150</v>
      </c>
      <c r="C156" s="8" t="s">
        <v>314</v>
      </c>
      <c r="D156" s="8" t="s">
        <v>204</v>
      </c>
      <c r="E156" s="20">
        <v>0.00775</v>
      </c>
      <c r="F156" s="10">
        <v>13739.109299999998</v>
      </c>
      <c r="G156" s="11">
        <f t="shared" si="4"/>
        <v>106.47809707499998</v>
      </c>
    </row>
    <row r="157" spans="2:7" ht="12">
      <c r="B157" s="7">
        <v>151</v>
      </c>
      <c r="C157" s="8" t="s">
        <v>315</v>
      </c>
      <c r="D157" s="8" t="s">
        <v>301</v>
      </c>
      <c r="E157" s="20">
        <v>4.08</v>
      </c>
      <c r="F157" s="10">
        <v>85.1445</v>
      </c>
      <c r="G157" s="11">
        <f t="shared" si="4"/>
        <v>347.38955999999996</v>
      </c>
    </row>
    <row r="158" spans="2:7" ht="12">
      <c r="B158" s="7">
        <v>152</v>
      </c>
      <c r="C158" s="8" t="s">
        <v>316</v>
      </c>
      <c r="D158" s="8" t="s">
        <v>204</v>
      </c>
      <c r="E158" s="20">
        <v>0.0005858</v>
      </c>
      <c r="F158" s="10">
        <v>48488.93</v>
      </c>
      <c r="G158" s="11">
        <f t="shared" si="4"/>
        <v>28.404815194</v>
      </c>
    </row>
    <row r="159" spans="2:7" ht="12">
      <c r="B159" s="7">
        <v>153</v>
      </c>
      <c r="C159" s="8" t="s">
        <v>317</v>
      </c>
      <c r="D159" s="8" t="s">
        <v>204</v>
      </c>
      <c r="E159" s="20">
        <v>2E-05</v>
      </c>
      <c r="F159" s="10">
        <v>46803.771</v>
      </c>
      <c r="G159" s="11">
        <f t="shared" si="4"/>
        <v>0.9360754200000001</v>
      </c>
    </row>
    <row r="160" spans="2:7" ht="12">
      <c r="B160" s="182" t="s">
        <v>139</v>
      </c>
      <c r="C160" s="182"/>
      <c r="D160" s="182"/>
      <c r="E160" s="182"/>
      <c r="F160" s="182"/>
      <c r="G160" s="22">
        <f>SUM(G49:G159)</f>
        <v>94340.68664628513</v>
      </c>
    </row>
    <row r="161" spans="2:7" ht="12.75" customHeight="1">
      <c r="B161" s="183" t="s">
        <v>318</v>
      </c>
      <c r="C161" s="183"/>
      <c r="D161" s="183"/>
      <c r="E161" s="183"/>
      <c r="F161" s="183"/>
      <c r="G161" s="183"/>
    </row>
    <row r="162" spans="2:7" ht="12">
      <c r="B162" s="15">
        <v>154</v>
      </c>
      <c r="C162" s="16" t="s">
        <v>319</v>
      </c>
      <c r="D162" s="16" t="s">
        <v>199</v>
      </c>
      <c r="E162" s="17">
        <v>0.16536508</v>
      </c>
      <c r="F162" s="18">
        <v>104.3987</v>
      </c>
      <c r="G162" s="19">
        <f aca="true" t="shared" si="5" ref="G162:G169">E162*F162</f>
        <v>17.263899377396</v>
      </c>
    </row>
    <row r="163" spans="2:7" ht="12">
      <c r="B163" s="7">
        <v>155</v>
      </c>
      <c r="C163" s="8" t="s">
        <v>320</v>
      </c>
      <c r="D163" s="8" t="s">
        <v>199</v>
      </c>
      <c r="E163" s="20">
        <v>0.76437683</v>
      </c>
      <c r="F163" s="10">
        <v>77.3976</v>
      </c>
      <c r="G163" s="11">
        <f t="shared" si="5"/>
        <v>59.160932137608</v>
      </c>
    </row>
    <row r="164" spans="2:7" ht="12">
      <c r="B164" s="7">
        <v>156</v>
      </c>
      <c r="C164" s="8" t="s">
        <v>321</v>
      </c>
      <c r="D164" s="8" t="s">
        <v>199</v>
      </c>
      <c r="E164" s="20">
        <v>0.00525</v>
      </c>
      <c r="F164" s="10">
        <v>250.4831</v>
      </c>
      <c r="G164" s="11">
        <f t="shared" si="5"/>
        <v>1.3150362750000002</v>
      </c>
    </row>
    <row r="165" spans="2:7" ht="12">
      <c r="B165" s="7">
        <v>157</v>
      </c>
      <c r="C165" s="8" t="s">
        <v>322</v>
      </c>
      <c r="D165" s="8" t="s">
        <v>199</v>
      </c>
      <c r="E165" s="20">
        <v>10.5258</v>
      </c>
      <c r="F165" s="10">
        <v>66.8423</v>
      </c>
      <c r="G165" s="11">
        <f t="shared" si="5"/>
        <v>703.56868134</v>
      </c>
    </row>
    <row r="166" spans="2:7" ht="12">
      <c r="B166" s="7">
        <v>158</v>
      </c>
      <c r="C166" s="8" t="s">
        <v>323</v>
      </c>
      <c r="D166" s="8" t="s">
        <v>199</v>
      </c>
      <c r="E166" s="20">
        <v>0.00525</v>
      </c>
      <c r="F166" s="10">
        <v>135.66</v>
      </c>
      <c r="G166" s="11">
        <f t="shared" si="5"/>
        <v>0.712215</v>
      </c>
    </row>
    <row r="167" spans="2:7" ht="12">
      <c r="B167" s="7">
        <v>159</v>
      </c>
      <c r="C167" s="8" t="s">
        <v>324</v>
      </c>
      <c r="D167" s="8" t="s">
        <v>199</v>
      </c>
      <c r="E167" s="20">
        <v>0.06651044</v>
      </c>
      <c r="F167" s="10">
        <v>82.943</v>
      </c>
      <c r="G167" s="11">
        <f t="shared" si="5"/>
        <v>5.51657542492</v>
      </c>
    </row>
    <row r="168" spans="2:7" ht="12">
      <c r="B168" s="7">
        <v>160</v>
      </c>
      <c r="C168" s="8" t="s">
        <v>325</v>
      </c>
      <c r="D168" s="8" t="s">
        <v>199</v>
      </c>
      <c r="E168" s="20">
        <v>0.16712499</v>
      </c>
      <c r="F168" s="10">
        <v>51.74119999999999</v>
      </c>
      <c r="G168" s="11">
        <f t="shared" si="5"/>
        <v>8.647247532587999</v>
      </c>
    </row>
    <row r="169" spans="2:7" ht="12">
      <c r="B169" s="7">
        <v>161</v>
      </c>
      <c r="C169" s="8" t="s">
        <v>326</v>
      </c>
      <c r="D169" s="8" t="s">
        <v>199</v>
      </c>
      <c r="E169" s="20">
        <v>0.2427504</v>
      </c>
      <c r="F169" s="10">
        <v>200.039</v>
      </c>
      <c r="G169" s="11">
        <f t="shared" si="5"/>
        <v>48.559547265599996</v>
      </c>
    </row>
    <row r="170" spans="2:7" ht="12">
      <c r="B170" s="182" t="s">
        <v>139</v>
      </c>
      <c r="C170" s="182"/>
      <c r="D170" s="182"/>
      <c r="E170" s="182"/>
      <c r="F170" s="182"/>
      <c r="G170" s="22">
        <f>SUM(G162:G169)</f>
        <v>844.7441343531121</v>
      </c>
    </row>
    <row r="171" spans="2:7" ht="12.75" customHeight="1">
      <c r="B171" s="183" t="s">
        <v>327</v>
      </c>
      <c r="C171" s="183"/>
      <c r="D171" s="183"/>
      <c r="E171" s="183"/>
      <c r="F171" s="183"/>
      <c r="G171" s="183"/>
    </row>
    <row r="172" spans="2:7" ht="12">
      <c r="B172" s="15">
        <v>162</v>
      </c>
      <c r="C172" s="16" t="s">
        <v>328</v>
      </c>
      <c r="D172" s="16" t="s">
        <v>329</v>
      </c>
      <c r="E172" s="17">
        <v>27.205</v>
      </c>
      <c r="F172" s="18">
        <v>949.2588</v>
      </c>
      <c r="G172" s="19">
        <f>E172*F172</f>
        <v>25824.585654</v>
      </c>
    </row>
    <row r="173" spans="2:7" ht="12">
      <c r="B173" s="7">
        <v>163</v>
      </c>
      <c r="C173" s="8" t="s">
        <v>330</v>
      </c>
      <c r="D173" s="8" t="s">
        <v>329</v>
      </c>
      <c r="E173" s="20">
        <v>50.66775</v>
      </c>
      <c r="F173" s="10">
        <v>86.99040000000001</v>
      </c>
      <c r="G173" s="11">
        <f>E173*F173</f>
        <v>4407.6078396</v>
      </c>
    </row>
    <row r="174" spans="2:7" ht="12">
      <c r="B174" s="7">
        <v>164</v>
      </c>
      <c r="C174" s="8" t="s">
        <v>331</v>
      </c>
      <c r="D174" s="8" t="s">
        <v>332</v>
      </c>
      <c r="E174" s="20">
        <v>26.275</v>
      </c>
      <c r="F174" s="10">
        <v>693.7182</v>
      </c>
      <c r="G174" s="11">
        <f>E174*F174</f>
        <v>18227.445705</v>
      </c>
    </row>
    <row r="175" spans="2:7" ht="12">
      <c r="B175" s="7">
        <v>165</v>
      </c>
      <c r="C175" s="8" t="s">
        <v>333</v>
      </c>
      <c r="D175" s="8" t="s">
        <v>332</v>
      </c>
      <c r="E175" s="20">
        <v>0.465</v>
      </c>
      <c r="F175" s="10">
        <v>390.5496</v>
      </c>
      <c r="G175" s="11">
        <f>E175*F175</f>
        <v>181.60556400000002</v>
      </c>
    </row>
    <row r="176" spans="2:7" ht="12">
      <c r="B176" s="182" t="s">
        <v>139</v>
      </c>
      <c r="C176" s="182"/>
      <c r="D176" s="182"/>
      <c r="E176" s="182"/>
      <c r="F176" s="182"/>
      <c r="G176" s="22">
        <f>SUM(G172:G175)</f>
        <v>48641.24476259999</v>
      </c>
    </row>
  </sheetData>
  <sheetProtection selectLockedCells="1" selectUnlockedCells="1"/>
  <mergeCells count="9">
    <mergeCell ref="B170:F170"/>
    <mergeCell ref="B171:G171"/>
    <mergeCell ref="B176:F176"/>
    <mergeCell ref="B1:G1"/>
    <mergeCell ref="B4:G4"/>
    <mergeCell ref="B47:F47"/>
    <mergeCell ref="B48:G48"/>
    <mergeCell ref="B160:F160"/>
    <mergeCell ref="B161:G161"/>
  </mergeCells>
  <printOptions/>
  <pageMargins left="0.35" right="0.35" top="0.35" bottom="0.35" header="0.5118055555555555" footer="0.3"/>
  <pageSetup fitToHeight="0" fitToWidth="1" horizontalDpi="300" verticalDpi="300" orientation="portrait" paperSize="9" scale="90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="89" zoomScaleNormal="89" zoomScalePageLayoutView="0" workbookViewId="0" topLeftCell="D1">
      <selection activeCell="B5" sqref="B5:M5"/>
    </sheetView>
  </sheetViews>
  <sheetFormatPr defaultColWidth="9.140625" defaultRowHeight="12"/>
  <cols>
    <col min="1" max="1" width="0" style="1" hidden="1" customWidth="1"/>
    <col min="2" max="2" width="7.00390625" style="1" customWidth="1"/>
    <col min="3" max="3" width="50.00390625" style="1" customWidth="1"/>
    <col min="4" max="4" width="18.00390625" style="1" customWidth="1"/>
    <col min="5" max="5" width="15.00390625" style="1" customWidth="1"/>
    <col min="6" max="6" width="12.00390625" style="1" customWidth="1"/>
    <col min="7" max="12" width="13.00390625" style="1" customWidth="1"/>
    <col min="13" max="13" width="12.28125" style="1" customWidth="1"/>
    <col min="14" max="15" width="12.28125" style="0" customWidth="1"/>
    <col min="16" max="16" width="12.28125" style="52" customWidth="1"/>
  </cols>
  <sheetData>
    <row r="1" spans="2:13" ht="27.75" customHeight="1"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ht="12.75" thickBot="1"/>
    <row r="3" spans="1:16" ht="54.75" thickBot="1">
      <c r="A3" s="2"/>
      <c r="B3" s="3" t="s">
        <v>1</v>
      </c>
      <c r="C3" s="4" t="s">
        <v>2</v>
      </c>
      <c r="D3" s="4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34" t="s">
        <v>12</v>
      </c>
      <c r="N3" s="70" t="s">
        <v>340</v>
      </c>
      <c r="O3" s="79" t="s">
        <v>341</v>
      </c>
      <c r="P3" s="58"/>
    </row>
    <row r="4" spans="2:16" ht="19.5" customHeight="1" thickBot="1">
      <c r="B4" s="196" t="s">
        <v>348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7"/>
      <c r="N4" s="37"/>
      <c r="O4" s="37"/>
      <c r="P4" s="58"/>
    </row>
    <row r="5" spans="2:16" ht="19.5" customHeight="1">
      <c r="B5" s="196" t="s">
        <v>13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7"/>
      <c r="N5" s="37"/>
      <c r="O5" s="37"/>
      <c r="P5" s="58"/>
    </row>
    <row r="6" spans="2:16" ht="36">
      <c r="B6" s="7">
        <v>3</v>
      </c>
      <c r="C6" s="8" t="s">
        <v>18</v>
      </c>
      <c r="D6" s="8" t="s">
        <v>19</v>
      </c>
      <c r="E6" s="9">
        <v>0.03</v>
      </c>
      <c r="F6" s="9">
        <v>1</v>
      </c>
      <c r="G6" s="10">
        <f>17034.9075*E6*F6</f>
        <v>511.047225</v>
      </c>
      <c r="H6" s="10">
        <f>7815.316908*E6*F6</f>
        <v>234.45950724</v>
      </c>
      <c r="I6" s="10">
        <f>242.140752*E6*F6</f>
        <v>7.264222559999999</v>
      </c>
      <c r="J6" s="10">
        <f>14371.321877124*E6*F6</f>
        <v>431.13965631372</v>
      </c>
      <c r="K6" s="10">
        <f>1381.2290462993*E6*F6</f>
        <v>41.436871388979</v>
      </c>
      <c r="L6" s="10"/>
      <c r="M6" s="35">
        <f>SUM(G6:L6)</f>
        <v>1225.347482502699</v>
      </c>
      <c r="N6" s="71">
        <f aca="true" t="shared" si="0" ref="N6:N21">M6/12/230</f>
        <v>0.4439664791676446</v>
      </c>
      <c r="O6" s="71">
        <f>N6*1.18</f>
        <v>0.5238804454178206</v>
      </c>
      <c r="P6" s="188">
        <f>SUM(O6:O9)</f>
        <v>1.3981368421816627</v>
      </c>
    </row>
    <row r="7" spans="2:16" ht="24">
      <c r="B7" s="7">
        <v>5</v>
      </c>
      <c r="C7" s="8" t="s">
        <v>22</v>
      </c>
      <c r="D7" s="8" t="s">
        <v>23</v>
      </c>
      <c r="E7" s="9">
        <v>0.03</v>
      </c>
      <c r="F7" s="9">
        <v>1</v>
      </c>
      <c r="G7" s="10">
        <f>1385.2254*E7*F7</f>
        <v>41.556762</v>
      </c>
      <c r="H7" s="10">
        <f>368.5874346*E7*F7</f>
        <v>11.057623038</v>
      </c>
      <c r="I7" s="10">
        <f>0*E7*F7</f>
        <v>0</v>
      </c>
      <c r="J7" s="10">
        <f>1162.2041106*E7*F7</f>
        <v>34.866123318</v>
      </c>
      <c r="K7" s="10">
        <f>102.060593082*E7*F7</f>
        <v>3.06181779246</v>
      </c>
      <c r="L7" s="10"/>
      <c r="M7" s="35">
        <f>SUM(G7:L7)</f>
        <v>90.54232614846</v>
      </c>
      <c r="N7" s="71">
        <f t="shared" si="0"/>
        <v>0.0328051906335</v>
      </c>
      <c r="O7" s="71">
        <f>N7*1.18</f>
        <v>0.03871012494753</v>
      </c>
      <c r="P7" s="189"/>
    </row>
    <row r="8" spans="2:16" ht="24">
      <c r="B8" s="7">
        <v>6</v>
      </c>
      <c r="C8" s="8" t="s">
        <v>24</v>
      </c>
      <c r="D8" s="8" t="s">
        <v>23</v>
      </c>
      <c r="E8" s="9">
        <v>0.025</v>
      </c>
      <c r="F8" s="9">
        <v>1</v>
      </c>
      <c r="G8" s="10">
        <f>1385.2254*E8*F8</f>
        <v>34.630635000000005</v>
      </c>
      <c r="H8" s="10">
        <f>1227.194445594*E8*F8</f>
        <v>30.67986113985</v>
      </c>
      <c r="I8" s="10">
        <f>0*E8*F8</f>
        <v>0</v>
      </c>
      <c r="J8" s="10">
        <f>1162.2041106*E8*F8</f>
        <v>29.055102765</v>
      </c>
      <c r="K8" s="10">
        <f>132.11183846679*E8*F8</f>
        <v>3.30279596166975</v>
      </c>
      <c r="L8" s="10"/>
      <c r="M8" s="35">
        <f>SUM(G8:L8)</f>
        <v>97.66839486651975</v>
      </c>
      <c r="N8" s="71">
        <f t="shared" si="0"/>
        <v>0.035387099589318745</v>
      </c>
      <c r="O8" s="71">
        <f>N8*1.18</f>
        <v>0.04175677751539612</v>
      </c>
      <c r="P8" s="189"/>
    </row>
    <row r="9" spans="2:16" ht="12">
      <c r="B9" s="7">
        <v>8</v>
      </c>
      <c r="C9" s="8" t="s">
        <v>335</v>
      </c>
      <c r="D9" s="8" t="s">
        <v>28</v>
      </c>
      <c r="E9" s="9">
        <v>0.102</v>
      </c>
      <c r="F9" s="9">
        <v>1</v>
      </c>
      <c r="G9" s="10">
        <f>4155.6762*E9*F9</f>
        <v>423.87897239999995</v>
      </c>
      <c r="H9" s="10">
        <f>9944.71699165*E9*F9</f>
        <v>1014.3611331483</v>
      </c>
      <c r="I9" s="10">
        <f>0*E9*F9</f>
        <v>0</v>
      </c>
      <c r="J9" s="10">
        <f>3486.6123318*E9*F9</f>
        <v>355.6344578436</v>
      </c>
      <c r="K9" s="10">
        <f>615.54519332075*E9*F9</f>
        <v>62.78560971871649</v>
      </c>
      <c r="L9" s="10"/>
      <c r="M9" s="35">
        <f>SUM(G9:L9)</f>
        <v>1856.6601731106166</v>
      </c>
      <c r="N9" s="71">
        <f t="shared" si="0"/>
        <v>0.6727029612719626</v>
      </c>
      <c r="O9" s="71">
        <f>N9*1.18</f>
        <v>0.7937894943009158</v>
      </c>
      <c r="P9" s="189"/>
    </row>
    <row r="10" spans="2:16" ht="12.75">
      <c r="B10" s="7"/>
      <c r="C10" s="63" t="s">
        <v>344</v>
      </c>
      <c r="D10" s="62"/>
      <c r="E10" s="63"/>
      <c r="F10" s="63"/>
      <c r="G10" s="64">
        <f aca="true" t="shared" si="1" ref="G10:M10">SUM(G6:G9)</f>
        <v>1011.1135944</v>
      </c>
      <c r="H10" s="64">
        <f t="shared" si="1"/>
        <v>1290.5581245661501</v>
      </c>
      <c r="I10" s="64">
        <f t="shared" si="1"/>
        <v>7.264222559999999</v>
      </c>
      <c r="J10" s="64">
        <f t="shared" si="1"/>
        <v>850.6953402403201</v>
      </c>
      <c r="K10" s="64">
        <f t="shared" si="1"/>
        <v>110.58709486182525</v>
      </c>
      <c r="L10" s="64">
        <f t="shared" si="1"/>
        <v>0</v>
      </c>
      <c r="M10" s="69">
        <f t="shared" si="1"/>
        <v>3270.218376628295</v>
      </c>
      <c r="N10" s="72"/>
      <c r="O10" s="72"/>
      <c r="P10" s="58"/>
    </row>
    <row r="11" spans="2:16" ht="15.75">
      <c r="B11" s="184" t="s">
        <v>58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5"/>
      <c r="N11" s="71"/>
      <c r="O11" s="71"/>
      <c r="P11" s="58"/>
    </row>
    <row r="12" spans="2:16" ht="12">
      <c r="B12" s="7">
        <v>29</v>
      </c>
      <c r="C12" s="8" t="s">
        <v>61</v>
      </c>
      <c r="D12" s="8" t="s">
        <v>62</v>
      </c>
      <c r="E12" s="9">
        <v>0.007</v>
      </c>
      <c r="F12" s="9">
        <v>1</v>
      </c>
      <c r="G12" s="10">
        <f>22432.8*E12*F12</f>
        <v>157.0296</v>
      </c>
      <c r="H12" s="10">
        <f>29909.1502362*E12*F12</f>
        <v>209.3640516534</v>
      </c>
      <c r="I12" s="10">
        <f>0*E12*F12</f>
        <v>0</v>
      </c>
      <c r="J12" s="10">
        <f>18821.1192*E12*F12</f>
        <v>131.74783440000002</v>
      </c>
      <c r="K12" s="10">
        <f>2490.707430267*E12*F12</f>
        <v>17.434952011869</v>
      </c>
      <c r="L12" s="10"/>
      <c r="M12" s="35">
        <f>SUM(G12:L12)</f>
        <v>515.5764380652689</v>
      </c>
      <c r="N12" s="71">
        <f t="shared" si="0"/>
        <v>0.18680305727002497</v>
      </c>
      <c r="O12" s="71">
        <f>N12*1.18</f>
        <v>0.22042760757862945</v>
      </c>
      <c r="P12" s="59">
        <f>O12</f>
        <v>0.22042760757862945</v>
      </c>
    </row>
    <row r="13" spans="2:16" ht="12.75">
      <c r="B13" s="7"/>
      <c r="C13" s="63" t="s">
        <v>344</v>
      </c>
      <c r="D13" s="62"/>
      <c r="E13" s="63"/>
      <c r="F13" s="63"/>
      <c r="G13" s="64">
        <f aca="true" t="shared" si="2" ref="G13:M13">SUM(G12:G12)</f>
        <v>157.0296</v>
      </c>
      <c r="H13" s="64">
        <f t="shared" si="2"/>
        <v>209.3640516534</v>
      </c>
      <c r="I13" s="64">
        <f t="shared" si="2"/>
        <v>0</v>
      </c>
      <c r="J13" s="64">
        <f t="shared" si="2"/>
        <v>131.74783440000002</v>
      </c>
      <c r="K13" s="64">
        <f t="shared" si="2"/>
        <v>17.434952011869</v>
      </c>
      <c r="L13" s="64">
        <f t="shared" si="2"/>
        <v>0</v>
      </c>
      <c r="M13" s="69">
        <f t="shared" si="2"/>
        <v>515.5764380652689</v>
      </c>
      <c r="N13" s="72"/>
      <c r="O13" s="72"/>
      <c r="P13" s="58"/>
    </row>
    <row r="14" spans="2:16" ht="12">
      <c r="B14" s="7"/>
      <c r="C14" s="8"/>
      <c r="D14" s="8"/>
      <c r="E14" s="9"/>
      <c r="F14" s="9"/>
      <c r="G14" s="10"/>
      <c r="H14" s="10"/>
      <c r="I14" s="10"/>
      <c r="J14" s="10"/>
      <c r="K14" s="10"/>
      <c r="L14" s="10"/>
      <c r="M14" s="35"/>
      <c r="N14" s="71"/>
      <c r="O14" s="71"/>
      <c r="P14" s="58"/>
    </row>
    <row r="15" spans="2:16" ht="15.75">
      <c r="B15" s="184" t="s">
        <v>65</v>
      </c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5"/>
      <c r="N15" s="71"/>
      <c r="O15" s="71"/>
      <c r="P15" s="58"/>
    </row>
    <row r="16" spans="2:16" ht="24">
      <c r="B16" s="7">
        <v>32</v>
      </c>
      <c r="C16" s="8" t="s">
        <v>68</v>
      </c>
      <c r="D16" s="8" t="s">
        <v>69</v>
      </c>
      <c r="E16" s="9">
        <v>0.23</v>
      </c>
      <c r="F16" s="9">
        <v>2</v>
      </c>
      <c r="G16" s="10">
        <f>47.97*E16*F16</f>
        <v>22.066200000000002</v>
      </c>
      <c r="H16" s="10">
        <f>0*E16*F16</f>
        <v>0</v>
      </c>
      <c r="I16" s="10">
        <f>0*E16*F16</f>
        <v>0</v>
      </c>
      <c r="J16" s="10">
        <f>40.24683*E16*F16</f>
        <v>18.513541800000002</v>
      </c>
      <c r="K16" s="10">
        <f>3.08758905*E16*F16</f>
        <v>1.420290963</v>
      </c>
      <c r="L16" s="10"/>
      <c r="M16" s="35">
        <f>SUM(G16:L16)</f>
        <v>42.00003276300001</v>
      </c>
      <c r="N16" s="71">
        <f t="shared" si="0"/>
        <v>0.015217403175000003</v>
      </c>
      <c r="O16" s="71">
        <f>N16*1.18</f>
        <v>0.017956535746500003</v>
      </c>
      <c r="P16" s="188">
        <f>SUM(O16:O18)</f>
        <v>0.513985491967575</v>
      </c>
    </row>
    <row r="17" spans="2:16" ht="24">
      <c r="B17" s="7">
        <v>33</v>
      </c>
      <c r="C17" s="8" t="s">
        <v>70</v>
      </c>
      <c r="D17" s="8" t="s">
        <v>69</v>
      </c>
      <c r="E17" s="9">
        <v>0.23</v>
      </c>
      <c r="F17" s="9">
        <v>2</v>
      </c>
      <c r="G17" s="10">
        <f>382.53*E17*F17</f>
        <v>175.9638</v>
      </c>
      <c r="H17" s="10">
        <f>0*E17*F17</f>
        <v>0</v>
      </c>
      <c r="I17" s="10">
        <f>0*E17*F17</f>
        <v>0</v>
      </c>
      <c r="J17" s="10">
        <f>320.94267*E17*F17</f>
        <v>147.6336282</v>
      </c>
      <c r="K17" s="10">
        <f>24.62154345*E17*F17</f>
        <v>11.325909987000001</v>
      </c>
      <c r="L17" s="10"/>
      <c r="M17" s="35">
        <f>SUM(G17:L17)</f>
        <v>334.92333818699996</v>
      </c>
      <c r="N17" s="71">
        <f t="shared" si="0"/>
        <v>0.12134903557499999</v>
      </c>
      <c r="O17" s="71">
        <f>N17*1.18</f>
        <v>0.14319186197849998</v>
      </c>
      <c r="P17" s="189"/>
    </row>
    <row r="18" spans="2:16" ht="36">
      <c r="B18" s="7">
        <v>36</v>
      </c>
      <c r="C18" s="8" t="s">
        <v>75</v>
      </c>
      <c r="D18" s="8" t="s">
        <v>76</v>
      </c>
      <c r="E18" s="9">
        <v>0.05</v>
      </c>
      <c r="F18" s="9">
        <v>2</v>
      </c>
      <c r="G18" s="10">
        <f>3942.5646*E18*F18</f>
        <v>394.25646000000006</v>
      </c>
      <c r="H18" s="10">
        <f>723.3433445*E18*F18</f>
        <v>72.33433445</v>
      </c>
      <c r="I18" s="10">
        <f>0*E18*F18</f>
        <v>0</v>
      </c>
      <c r="J18" s="10">
        <f>3307.8116994*E18*F18</f>
        <v>330.78116994000004</v>
      </c>
      <c r="K18" s="10">
        <f>279.0801875365*E18*F18</f>
        <v>27.908018753649998</v>
      </c>
      <c r="L18" s="10"/>
      <c r="M18" s="35">
        <f>SUM(G18:L18)</f>
        <v>825.2799831436502</v>
      </c>
      <c r="N18" s="71">
        <f t="shared" si="0"/>
        <v>0.2990144866462501</v>
      </c>
      <c r="O18" s="71">
        <f>N18*1.18</f>
        <v>0.3528370942425751</v>
      </c>
      <c r="P18" s="189"/>
    </row>
    <row r="19" spans="2:16" ht="12.75">
      <c r="B19" s="7"/>
      <c r="C19" s="63" t="s">
        <v>344</v>
      </c>
      <c r="D19" s="62"/>
      <c r="E19" s="63"/>
      <c r="F19" s="63"/>
      <c r="G19" s="64">
        <f aca="true" t="shared" si="3" ref="G19:M19">SUM(G16:G18)</f>
        <v>592.28646</v>
      </c>
      <c r="H19" s="64">
        <f t="shared" si="3"/>
        <v>72.33433445</v>
      </c>
      <c r="I19" s="64">
        <f t="shared" si="3"/>
        <v>0</v>
      </c>
      <c r="J19" s="64">
        <f t="shared" si="3"/>
        <v>496.92833994000006</v>
      </c>
      <c r="K19" s="64">
        <f t="shared" si="3"/>
        <v>40.65421970365</v>
      </c>
      <c r="L19" s="64">
        <f t="shared" si="3"/>
        <v>0</v>
      </c>
      <c r="M19" s="69">
        <f t="shared" si="3"/>
        <v>1202.20335409365</v>
      </c>
      <c r="N19" s="72"/>
      <c r="O19" s="72"/>
      <c r="P19" s="58"/>
    </row>
    <row r="20" spans="2:16" ht="15.75">
      <c r="B20" s="184" t="s">
        <v>106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5"/>
      <c r="N20" s="71"/>
      <c r="O20" s="71"/>
      <c r="P20" s="58"/>
    </row>
    <row r="21" spans="2:16" ht="60">
      <c r="B21" s="7">
        <v>53</v>
      </c>
      <c r="C21" s="8" t="s">
        <v>107</v>
      </c>
      <c r="D21" s="8" t="s">
        <v>108</v>
      </c>
      <c r="E21" s="111">
        <v>0.23</v>
      </c>
      <c r="F21" s="9">
        <v>2</v>
      </c>
      <c r="G21" s="10">
        <f>1113.829014*E21*F21</f>
        <v>512.36134644</v>
      </c>
      <c r="H21" s="10">
        <f>0*E21*F21</f>
        <v>0</v>
      </c>
      <c r="I21" s="10">
        <f>0*E21*F21</f>
        <v>0</v>
      </c>
      <c r="J21" s="10">
        <f>934.502542746*E21*F21</f>
        <v>429.87116966316</v>
      </c>
      <c r="K21" s="10">
        <f>71.69160448611*E21*F21</f>
        <v>32.9781380636106</v>
      </c>
      <c r="L21" s="10"/>
      <c r="M21" s="35">
        <f>SUM(G21:L21)</f>
        <v>975.2106541667706</v>
      </c>
      <c r="N21" s="71">
        <f t="shared" si="0"/>
        <v>0.353337193538685</v>
      </c>
      <c r="O21" s="71">
        <f>N21*1.18</f>
        <v>0.41693788837564827</v>
      </c>
      <c r="P21" s="59">
        <f>O21</f>
        <v>0.41693788837564827</v>
      </c>
    </row>
    <row r="22" spans="2:16" ht="12.75">
      <c r="B22" s="7"/>
      <c r="C22" s="63" t="s">
        <v>344</v>
      </c>
      <c r="D22" s="62"/>
      <c r="E22" s="63"/>
      <c r="F22" s="63"/>
      <c r="G22" s="64">
        <f aca="true" t="shared" si="4" ref="G22:M22">SUM(G21)</f>
        <v>512.36134644</v>
      </c>
      <c r="H22" s="64">
        <f t="shared" si="4"/>
        <v>0</v>
      </c>
      <c r="I22" s="64">
        <f t="shared" si="4"/>
        <v>0</v>
      </c>
      <c r="J22" s="64">
        <f t="shared" si="4"/>
        <v>429.87116966316</v>
      </c>
      <c r="K22" s="64">
        <f t="shared" si="4"/>
        <v>32.9781380636106</v>
      </c>
      <c r="L22" s="64">
        <f t="shared" si="4"/>
        <v>0</v>
      </c>
      <c r="M22" s="69">
        <f t="shared" si="4"/>
        <v>975.2106541667706</v>
      </c>
      <c r="N22" s="72"/>
      <c r="O22" s="72"/>
      <c r="P22" s="58"/>
    </row>
    <row r="23" spans="2:16" ht="12.75" customHeight="1">
      <c r="B23" s="7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5"/>
      <c r="N23" s="71"/>
      <c r="O23" s="71"/>
      <c r="P23" s="58"/>
    </row>
    <row r="24" spans="2:16" ht="15">
      <c r="B24" s="7"/>
      <c r="C24" s="101" t="s">
        <v>343</v>
      </c>
      <c r="D24" s="8"/>
      <c r="E24" s="9"/>
      <c r="F24" s="9"/>
      <c r="G24" s="10"/>
      <c r="H24" s="10"/>
      <c r="I24" s="10"/>
      <c r="J24" s="10"/>
      <c r="K24" s="10"/>
      <c r="L24" s="10"/>
      <c r="M24" s="35"/>
      <c r="N24" s="71"/>
      <c r="O24" s="71"/>
      <c r="P24" s="58"/>
    </row>
    <row r="25" spans="2:16" ht="12">
      <c r="B25" s="7"/>
      <c r="C25" s="8" t="s">
        <v>135</v>
      </c>
      <c r="D25" s="8"/>
      <c r="E25" s="9"/>
      <c r="F25" s="9"/>
      <c r="G25" s="10"/>
      <c r="H25" s="10"/>
      <c r="I25" s="10"/>
      <c r="J25" s="10"/>
      <c r="K25" s="10"/>
      <c r="L25" s="10"/>
      <c r="M25" s="35">
        <f>1.36*230*12/1.18</f>
        <v>3181.016949152542</v>
      </c>
      <c r="N25" s="71">
        <f>M25/12/230</f>
        <v>1.152542372881356</v>
      </c>
      <c r="O25" s="71">
        <f>N25*1.18</f>
        <v>1.3599999999999999</v>
      </c>
      <c r="P25" s="59">
        <f>O25</f>
        <v>1.3599999999999999</v>
      </c>
    </row>
    <row r="26" spans="2:16" ht="12.75" thickBot="1">
      <c r="B26" s="29"/>
      <c r="C26" s="30" t="s">
        <v>339</v>
      </c>
      <c r="D26" s="30"/>
      <c r="E26" s="31"/>
      <c r="F26" s="31"/>
      <c r="G26" s="32"/>
      <c r="H26" s="32"/>
      <c r="I26" s="32"/>
      <c r="J26" s="32"/>
      <c r="K26" s="32"/>
      <c r="L26" s="32"/>
      <c r="M26" s="33">
        <f>N26*12*230</f>
        <v>690</v>
      </c>
      <c r="N26" s="80">
        <v>0.25</v>
      </c>
      <c r="O26" s="80">
        <f>N26*1.18</f>
        <v>0.295</v>
      </c>
      <c r="P26" s="60">
        <f>O26</f>
        <v>0.295</v>
      </c>
    </row>
    <row r="27" spans="2:16" ht="28.5" customHeight="1" thickBot="1">
      <c r="B27" s="44"/>
      <c r="C27" s="142" t="s">
        <v>139</v>
      </c>
      <c r="D27" s="46"/>
      <c r="E27" s="46"/>
      <c r="F27" s="47"/>
      <c r="G27" s="48">
        <f aca="true" t="shared" si="5" ref="G27:L27">G22+G19+G13+G10</f>
        <v>2272.7910008400004</v>
      </c>
      <c r="H27" s="48">
        <f t="shared" si="5"/>
        <v>1572.2565106695502</v>
      </c>
      <c r="I27" s="48">
        <f t="shared" si="5"/>
        <v>7.264222559999999</v>
      </c>
      <c r="J27" s="48">
        <f t="shared" si="5"/>
        <v>1909.2426842434802</v>
      </c>
      <c r="K27" s="48">
        <f t="shared" si="5"/>
        <v>201.65440464095485</v>
      </c>
      <c r="L27" s="48">
        <f t="shared" si="5"/>
        <v>0</v>
      </c>
      <c r="M27" s="49">
        <f>M22+M19+M13+M10+M25+M26</f>
        <v>9834.225772106527</v>
      </c>
      <c r="N27" s="122">
        <f>SUM(N6:N26)</f>
        <v>3.563125279748742</v>
      </c>
      <c r="O27" s="141">
        <f>SUM(O6:O26)</f>
        <v>4.204487830103516</v>
      </c>
      <c r="P27" s="123">
        <f>SUM(P6:P26)</f>
        <v>4.204487830103516</v>
      </c>
    </row>
    <row r="29" spans="12:13" ht="12">
      <c r="L29" s="1">
        <f>L27/12/230</f>
        <v>0</v>
      </c>
      <c r="M29" s="53">
        <f>M27/12/230</f>
        <v>3.563125279748742</v>
      </c>
    </row>
    <row r="31" spans="4:11" ht="19.5">
      <c r="D31" s="192" t="s">
        <v>140</v>
      </c>
      <c r="E31" s="192"/>
      <c r="F31" s="192"/>
      <c r="G31" s="192"/>
      <c r="H31" s="192"/>
      <c r="I31" s="192"/>
      <c r="J31" s="192"/>
      <c r="K31" s="192"/>
    </row>
    <row r="32" spans="4:11" ht="15.75">
      <c r="D32" s="13" t="s">
        <v>141</v>
      </c>
      <c r="E32" s="186">
        <f>G27</f>
        <v>2272.7910008400004</v>
      </c>
      <c r="F32" s="186"/>
      <c r="G32" s="14"/>
      <c r="H32" s="14"/>
      <c r="I32" s="13" t="s">
        <v>142</v>
      </c>
      <c r="J32" s="186">
        <f>J27</f>
        <v>1909.2426842434802</v>
      </c>
      <c r="K32" s="186"/>
    </row>
    <row r="33" spans="4:11" ht="15.75">
      <c r="D33" s="13" t="s">
        <v>143</v>
      </c>
      <c r="E33" s="186">
        <f>H27</f>
        <v>1572.2565106695502</v>
      </c>
      <c r="F33" s="186"/>
      <c r="G33" s="14"/>
      <c r="H33" s="14"/>
      <c r="I33" s="13" t="s">
        <v>144</v>
      </c>
      <c r="J33" s="186">
        <f>K27</f>
        <v>201.65440464095485</v>
      </c>
      <c r="K33" s="186"/>
    </row>
    <row r="34" spans="4:11" ht="15.75">
      <c r="D34" s="13" t="s">
        <v>145</v>
      </c>
      <c r="E34" s="186">
        <f>I27</f>
        <v>7.264222559999999</v>
      </c>
      <c r="F34" s="186"/>
      <c r="G34" s="14"/>
      <c r="H34" s="14"/>
      <c r="I34" s="13" t="s">
        <v>146</v>
      </c>
      <c r="J34" s="186">
        <f>L27</f>
        <v>0</v>
      </c>
      <c r="K34" s="186"/>
    </row>
    <row r="35" spans="4:11" ht="15.75">
      <c r="D35" s="13"/>
      <c r="E35" s="14"/>
      <c r="F35" s="14"/>
      <c r="G35" s="14"/>
      <c r="H35" s="14"/>
      <c r="I35" s="13" t="s">
        <v>147</v>
      </c>
      <c r="J35" s="186">
        <f>M27</f>
        <v>9834.225772106527</v>
      </c>
      <c r="K35" s="186"/>
    </row>
  </sheetData>
  <sheetProtection selectLockedCells="1" selectUnlockedCells="1"/>
  <mergeCells count="17">
    <mergeCell ref="J33:K33"/>
    <mergeCell ref="B1:M1"/>
    <mergeCell ref="B4:M4"/>
    <mergeCell ref="B5:M5"/>
    <mergeCell ref="B11:M11"/>
    <mergeCell ref="B15:M15"/>
    <mergeCell ref="B20:M20"/>
    <mergeCell ref="E34:F34"/>
    <mergeCell ref="J34:K34"/>
    <mergeCell ref="J35:K35"/>
    <mergeCell ref="P6:P9"/>
    <mergeCell ref="P16:P18"/>
    <mergeCell ref="C23:M23"/>
    <mergeCell ref="D31:K31"/>
    <mergeCell ref="E32:F32"/>
    <mergeCell ref="J32:K32"/>
    <mergeCell ref="E33:F33"/>
  </mergeCells>
  <printOptions/>
  <pageMargins left="0.35" right="0.35" top="0.35" bottom="0.35" header="0.5118055555555555" footer="0.3"/>
  <pageSetup fitToHeight="0" fitToWidth="1" horizontalDpi="300" verticalDpi="300" orientation="landscape" paperSize="9" scale="68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6"/>
  <sheetViews>
    <sheetView zoomScale="89" zoomScaleNormal="89" zoomScalePageLayoutView="0" workbookViewId="0" topLeftCell="B1">
      <selection activeCell="C37" sqref="C37"/>
    </sheetView>
  </sheetViews>
  <sheetFormatPr defaultColWidth="9.140625" defaultRowHeight="12"/>
  <cols>
    <col min="1" max="1" width="0" style="1" hidden="1" customWidth="1"/>
    <col min="2" max="2" width="7.00390625" style="1" customWidth="1"/>
    <col min="3" max="3" width="60.00390625" style="1" customWidth="1"/>
    <col min="4" max="4" width="13.00390625" style="1" customWidth="1"/>
    <col min="5" max="5" width="11.00390625" style="1" customWidth="1"/>
    <col min="6" max="6" width="13.00390625" style="1" customWidth="1"/>
    <col min="7" max="7" width="15.00390625" style="1" customWidth="1"/>
  </cols>
  <sheetData>
    <row r="1" spans="2:7" ht="27.75" customHeight="1">
      <c r="B1" s="193" t="s">
        <v>148</v>
      </c>
      <c r="C1" s="193"/>
      <c r="D1" s="193"/>
      <c r="E1" s="193"/>
      <c r="F1" s="193"/>
      <c r="G1" s="193"/>
    </row>
    <row r="3" spans="1:7" ht="27">
      <c r="A3" s="2"/>
      <c r="B3" s="4" t="s">
        <v>1</v>
      </c>
      <c r="C3" s="4" t="s">
        <v>149</v>
      </c>
      <c r="D3" s="5" t="s">
        <v>150</v>
      </c>
      <c r="E3" s="5" t="s">
        <v>4</v>
      </c>
      <c r="F3" s="5" t="s">
        <v>151</v>
      </c>
      <c r="G3" s="6" t="s">
        <v>12</v>
      </c>
    </row>
    <row r="4" spans="2:7" ht="12.75" customHeight="1">
      <c r="B4" s="183" t="s">
        <v>152</v>
      </c>
      <c r="C4" s="183"/>
      <c r="D4" s="183"/>
      <c r="E4" s="183"/>
      <c r="F4" s="183"/>
      <c r="G4" s="183"/>
    </row>
    <row r="5" spans="2:7" ht="12">
      <c r="B5" s="15">
        <v>1</v>
      </c>
      <c r="C5" s="16" t="s">
        <v>153</v>
      </c>
      <c r="D5" s="16" t="s">
        <v>154</v>
      </c>
      <c r="E5" s="17">
        <v>0.776</v>
      </c>
      <c r="F5" s="18">
        <v>93.47</v>
      </c>
      <c r="G5" s="19">
        <f aca="true" t="shared" si="0" ref="G5:G46">E5*F5</f>
        <v>72.53272</v>
      </c>
    </row>
    <row r="6" spans="2:7" ht="12">
      <c r="B6" s="7">
        <v>2</v>
      </c>
      <c r="C6" s="8" t="s">
        <v>155</v>
      </c>
      <c r="D6" s="8" t="s">
        <v>154</v>
      </c>
      <c r="E6" s="20">
        <v>1.552</v>
      </c>
      <c r="F6" s="10">
        <v>100.94760000000002</v>
      </c>
      <c r="G6" s="11">
        <f t="shared" si="0"/>
        <v>156.67067520000003</v>
      </c>
    </row>
    <row r="7" spans="2:7" ht="12">
      <c r="B7" s="7">
        <v>3</v>
      </c>
      <c r="C7" s="8" t="s">
        <v>156</v>
      </c>
      <c r="D7" s="8" t="s">
        <v>154</v>
      </c>
      <c r="E7" s="20">
        <v>2.328</v>
      </c>
      <c r="F7" s="10">
        <v>112.164</v>
      </c>
      <c r="G7" s="11">
        <f t="shared" si="0"/>
        <v>261.117792</v>
      </c>
    </row>
    <row r="8" spans="2:7" ht="12">
      <c r="B8" s="7">
        <v>4</v>
      </c>
      <c r="C8" s="8" t="s">
        <v>157</v>
      </c>
      <c r="D8" s="8" t="s">
        <v>154</v>
      </c>
      <c r="E8" s="20">
        <v>0.776</v>
      </c>
      <c r="F8" s="10">
        <v>126.18450000000001</v>
      </c>
      <c r="G8" s="11">
        <f t="shared" si="0"/>
        <v>97.91917200000002</v>
      </c>
    </row>
    <row r="9" spans="2:7" ht="12">
      <c r="B9" s="7">
        <v>5</v>
      </c>
      <c r="C9" s="8" t="s">
        <v>158</v>
      </c>
      <c r="D9" s="8" t="s">
        <v>154</v>
      </c>
      <c r="E9" s="20">
        <v>749.8432</v>
      </c>
      <c r="F9" s="21">
        <v>59.53</v>
      </c>
      <c r="G9" s="11">
        <f t="shared" si="0"/>
        <v>44638.165696000004</v>
      </c>
    </row>
    <row r="10" spans="2:7" ht="12">
      <c r="B10" s="7">
        <v>6</v>
      </c>
      <c r="C10" s="8" t="s">
        <v>159</v>
      </c>
      <c r="D10" s="8" t="s">
        <v>154</v>
      </c>
      <c r="E10" s="20">
        <v>35.1</v>
      </c>
      <c r="F10" s="10">
        <v>112.164</v>
      </c>
      <c r="G10" s="11">
        <f t="shared" si="0"/>
        <v>3936.9564</v>
      </c>
    </row>
    <row r="11" spans="2:7" ht="12">
      <c r="B11" s="7">
        <v>7</v>
      </c>
      <c r="C11" s="8" t="s">
        <v>160</v>
      </c>
      <c r="D11" s="8" t="s">
        <v>154</v>
      </c>
      <c r="E11" s="20">
        <v>10.32</v>
      </c>
      <c r="F11" s="10">
        <v>100.94760000000002</v>
      </c>
      <c r="G11" s="11">
        <f t="shared" si="0"/>
        <v>1041.7792320000003</v>
      </c>
    </row>
    <row r="12" spans="2:7" ht="12">
      <c r="B12" s="7">
        <v>8</v>
      </c>
      <c r="C12" s="8" t="s">
        <v>161</v>
      </c>
      <c r="D12" s="8" t="s">
        <v>154</v>
      </c>
      <c r="E12" s="20">
        <v>10.32</v>
      </c>
      <c r="F12" s="10">
        <v>112.164</v>
      </c>
      <c r="G12" s="11">
        <f t="shared" si="0"/>
        <v>1157.53248</v>
      </c>
    </row>
    <row r="13" spans="2:7" ht="12">
      <c r="B13" s="7">
        <v>9</v>
      </c>
      <c r="C13" s="8" t="s">
        <v>162</v>
      </c>
      <c r="D13" s="8" t="s">
        <v>154</v>
      </c>
      <c r="E13" s="20">
        <v>30.093</v>
      </c>
      <c r="F13" s="21">
        <v>123</v>
      </c>
      <c r="G13" s="11">
        <f t="shared" si="0"/>
        <v>3701.439</v>
      </c>
    </row>
    <row r="14" spans="2:7" ht="12">
      <c r="B14" s="7">
        <v>10</v>
      </c>
      <c r="C14" s="8" t="s">
        <v>163</v>
      </c>
      <c r="D14" s="8" t="s">
        <v>154</v>
      </c>
      <c r="E14" s="20">
        <v>7.9325</v>
      </c>
      <c r="F14" s="10">
        <v>126.18450000000001</v>
      </c>
      <c r="G14" s="11">
        <f t="shared" si="0"/>
        <v>1000.9585462500002</v>
      </c>
    </row>
    <row r="15" spans="2:7" ht="12">
      <c r="B15" s="7">
        <v>11</v>
      </c>
      <c r="C15" s="8" t="s">
        <v>164</v>
      </c>
      <c r="D15" s="8" t="s">
        <v>154</v>
      </c>
      <c r="E15" s="20">
        <v>71.325</v>
      </c>
      <c r="F15" s="10">
        <v>143.9438</v>
      </c>
      <c r="G15" s="11">
        <f t="shared" si="0"/>
        <v>10266.791535</v>
      </c>
    </row>
    <row r="16" spans="2:7" ht="12">
      <c r="B16" s="7">
        <v>12</v>
      </c>
      <c r="C16" s="8" t="s">
        <v>165</v>
      </c>
      <c r="D16" s="8" t="s">
        <v>154</v>
      </c>
      <c r="E16" s="20">
        <v>0.6</v>
      </c>
      <c r="F16" s="10">
        <v>112.164</v>
      </c>
      <c r="G16" s="11">
        <f t="shared" si="0"/>
        <v>67.2984</v>
      </c>
    </row>
    <row r="17" spans="2:7" ht="24">
      <c r="B17" s="7">
        <v>13</v>
      </c>
      <c r="C17" s="8" t="s">
        <v>166</v>
      </c>
      <c r="D17" s="8" t="s">
        <v>154</v>
      </c>
      <c r="E17" s="20">
        <v>23.4</v>
      </c>
      <c r="F17" s="10">
        <v>100.94760000000002</v>
      </c>
      <c r="G17" s="11">
        <f t="shared" si="0"/>
        <v>2362.1738400000004</v>
      </c>
    </row>
    <row r="18" spans="2:7" ht="24">
      <c r="B18" s="7">
        <v>14</v>
      </c>
      <c r="C18" s="8" t="s">
        <v>167</v>
      </c>
      <c r="D18" s="8" t="s">
        <v>154</v>
      </c>
      <c r="E18" s="20">
        <v>23.4</v>
      </c>
      <c r="F18" s="10">
        <v>112.164</v>
      </c>
      <c r="G18" s="11">
        <f t="shared" si="0"/>
        <v>2624.6376</v>
      </c>
    </row>
    <row r="19" spans="2:7" ht="24">
      <c r="B19" s="7">
        <v>15</v>
      </c>
      <c r="C19" s="8" t="s">
        <v>168</v>
      </c>
      <c r="D19" s="8" t="s">
        <v>154</v>
      </c>
      <c r="E19" s="20">
        <v>3.92</v>
      </c>
      <c r="F19" s="21">
        <v>133.87</v>
      </c>
      <c r="G19" s="11">
        <f t="shared" si="0"/>
        <v>524.7704</v>
      </c>
    </row>
    <row r="20" spans="2:7" ht="12">
      <c r="B20" s="7">
        <v>16</v>
      </c>
      <c r="C20" s="8" t="s">
        <v>169</v>
      </c>
      <c r="D20" s="8" t="s">
        <v>154</v>
      </c>
      <c r="E20" s="20">
        <v>10.075</v>
      </c>
      <c r="F20" s="10">
        <v>100.94760000000002</v>
      </c>
      <c r="G20" s="11">
        <f t="shared" si="0"/>
        <v>1017.0470700000002</v>
      </c>
    </row>
    <row r="21" spans="2:7" ht="12">
      <c r="B21" s="7">
        <v>17</v>
      </c>
      <c r="C21" s="8" t="s">
        <v>170</v>
      </c>
      <c r="D21" s="8" t="s">
        <v>154</v>
      </c>
      <c r="E21" s="20">
        <v>10.075</v>
      </c>
      <c r="F21" s="10">
        <v>112.164</v>
      </c>
      <c r="G21" s="11">
        <f t="shared" si="0"/>
        <v>1130.0522999999998</v>
      </c>
    </row>
    <row r="22" spans="2:7" ht="12">
      <c r="B22" s="7">
        <v>18</v>
      </c>
      <c r="C22" s="8" t="s">
        <v>171</v>
      </c>
      <c r="D22" s="8" t="s">
        <v>154</v>
      </c>
      <c r="E22" s="20">
        <v>4.06</v>
      </c>
      <c r="F22" s="10">
        <v>126.18450000000001</v>
      </c>
      <c r="G22" s="11">
        <f t="shared" si="0"/>
        <v>512.30907</v>
      </c>
    </row>
    <row r="23" spans="2:7" ht="12">
      <c r="B23" s="7">
        <v>19</v>
      </c>
      <c r="C23" s="8" t="s">
        <v>172</v>
      </c>
      <c r="D23" s="8" t="s">
        <v>154</v>
      </c>
      <c r="E23" s="20">
        <v>6</v>
      </c>
      <c r="F23" s="10">
        <v>143.9438</v>
      </c>
      <c r="G23" s="11">
        <f t="shared" si="0"/>
        <v>863.6628000000001</v>
      </c>
    </row>
    <row r="24" spans="2:7" ht="24">
      <c r="B24" s="7">
        <v>20</v>
      </c>
      <c r="C24" s="8" t="s">
        <v>173</v>
      </c>
      <c r="D24" s="8" t="s">
        <v>154</v>
      </c>
      <c r="E24" s="20">
        <v>6</v>
      </c>
      <c r="F24" s="10">
        <v>126.18450000000001</v>
      </c>
      <c r="G24" s="11">
        <f t="shared" si="0"/>
        <v>757.1070000000001</v>
      </c>
    </row>
    <row r="25" spans="2:7" ht="24">
      <c r="B25" s="7">
        <v>21</v>
      </c>
      <c r="C25" s="8" t="s">
        <v>174</v>
      </c>
      <c r="D25" s="8" t="s">
        <v>154</v>
      </c>
      <c r="E25" s="20">
        <v>1.05</v>
      </c>
      <c r="F25" s="10">
        <v>143.9438</v>
      </c>
      <c r="G25" s="11">
        <f t="shared" si="0"/>
        <v>151.14099000000002</v>
      </c>
    </row>
    <row r="26" spans="2:7" ht="12">
      <c r="B26" s="7">
        <v>22</v>
      </c>
      <c r="C26" s="8" t="s">
        <v>175</v>
      </c>
      <c r="D26" s="8" t="s">
        <v>154</v>
      </c>
      <c r="E26" s="20">
        <v>0.776</v>
      </c>
      <c r="F26" s="10">
        <v>93.47</v>
      </c>
      <c r="G26" s="11">
        <f t="shared" si="0"/>
        <v>72.53272</v>
      </c>
    </row>
    <row r="27" spans="2:7" ht="12">
      <c r="B27" s="7">
        <v>23</v>
      </c>
      <c r="C27" s="8" t="s">
        <v>176</v>
      </c>
      <c r="D27" s="8" t="s">
        <v>154</v>
      </c>
      <c r="E27" s="20">
        <v>66.20586</v>
      </c>
      <c r="F27" s="10">
        <v>112.164</v>
      </c>
      <c r="G27" s="11">
        <f t="shared" si="0"/>
        <v>7425.91408104</v>
      </c>
    </row>
    <row r="28" spans="2:7" ht="12">
      <c r="B28" s="7">
        <v>24</v>
      </c>
      <c r="C28" s="8" t="s">
        <v>177</v>
      </c>
      <c r="D28" s="8" t="s">
        <v>154</v>
      </c>
      <c r="E28" s="20">
        <v>0.305</v>
      </c>
      <c r="F28" s="10">
        <v>126.18450000000001</v>
      </c>
      <c r="G28" s="11">
        <f t="shared" si="0"/>
        <v>38.486272500000005</v>
      </c>
    </row>
    <row r="29" spans="2:7" ht="12">
      <c r="B29" s="7">
        <v>25</v>
      </c>
      <c r="C29" s="8" t="s">
        <v>178</v>
      </c>
      <c r="D29" s="8" t="s">
        <v>154</v>
      </c>
      <c r="E29" s="20">
        <v>0.305</v>
      </c>
      <c r="F29" s="10">
        <v>143.9438</v>
      </c>
      <c r="G29" s="11">
        <f t="shared" si="0"/>
        <v>43.902859</v>
      </c>
    </row>
    <row r="30" spans="2:7" ht="24">
      <c r="B30" s="7">
        <v>26</v>
      </c>
      <c r="C30" s="8" t="s">
        <v>179</v>
      </c>
      <c r="D30" s="8" t="s">
        <v>154</v>
      </c>
      <c r="E30" s="20">
        <v>177.68453305</v>
      </c>
      <c r="F30" s="10">
        <v>100.94760000000002</v>
      </c>
      <c r="G30" s="11">
        <f t="shared" si="0"/>
        <v>17936.827168518183</v>
      </c>
    </row>
    <row r="31" spans="2:7" ht="24">
      <c r="B31" s="7">
        <v>27</v>
      </c>
      <c r="C31" s="8" t="s">
        <v>180</v>
      </c>
      <c r="D31" s="8" t="s">
        <v>154</v>
      </c>
      <c r="E31" s="20">
        <v>0.6445</v>
      </c>
      <c r="F31" s="10">
        <v>112.164</v>
      </c>
      <c r="G31" s="11">
        <f t="shared" si="0"/>
        <v>72.289698</v>
      </c>
    </row>
    <row r="32" spans="2:7" ht="24">
      <c r="B32" s="7">
        <v>28</v>
      </c>
      <c r="C32" s="8" t="s">
        <v>181</v>
      </c>
      <c r="D32" s="8" t="s">
        <v>154</v>
      </c>
      <c r="E32" s="20">
        <v>56.23092</v>
      </c>
      <c r="F32" s="21">
        <v>0.01</v>
      </c>
      <c r="G32" s="11">
        <f t="shared" si="0"/>
        <v>0.5623092</v>
      </c>
    </row>
    <row r="33" spans="2:7" ht="12">
      <c r="B33" s="7">
        <v>29</v>
      </c>
      <c r="C33" s="8" t="s">
        <v>182</v>
      </c>
      <c r="D33" s="8" t="s">
        <v>154</v>
      </c>
      <c r="E33" s="20">
        <v>40.1116</v>
      </c>
      <c r="F33" s="10">
        <v>112.164</v>
      </c>
      <c r="G33" s="11">
        <f t="shared" si="0"/>
        <v>4499.0775024</v>
      </c>
    </row>
    <row r="34" spans="2:7" ht="12">
      <c r="B34" s="7">
        <v>30</v>
      </c>
      <c r="C34" s="8" t="s">
        <v>183</v>
      </c>
      <c r="D34" s="8" t="s">
        <v>154</v>
      </c>
      <c r="E34" s="20">
        <v>68.792</v>
      </c>
      <c r="F34" s="10">
        <v>100.94760000000002</v>
      </c>
      <c r="G34" s="11">
        <f t="shared" si="0"/>
        <v>6944.3872992000015</v>
      </c>
    </row>
    <row r="35" spans="2:7" ht="12">
      <c r="B35" s="7">
        <v>31</v>
      </c>
      <c r="C35" s="8" t="s">
        <v>184</v>
      </c>
      <c r="D35" s="8" t="s">
        <v>154</v>
      </c>
      <c r="E35" s="20">
        <v>100.00666659</v>
      </c>
      <c r="F35" s="10">
        <v>112.164</v>
      </c>
      <c r="G35" s="11">
        <f t="shared" si="0"/>
        <v>11217.14775140076</v>
      </c>
    </row>
    <row r="36" spans="2:7" ht="12">
      <c r="B36" s="7">
        <v>32</v>
      </c>
      <c r="C36" s="8" t="s">
        <v>185</v>
      </c>
      <c r="D36" s="8" t="s">
        <v>154</v>
      </c>
      <c r="E36" s="20">
        <v>250.22004</v>
      </c>
      <c r="F36" s="10">
        <v>126.18450000000001</v>
      </c>
      <c r="G36" s="11">
        <f t="shared" si="0"/>
        <v>31573.890637380006</v>
      </c>
    </row>
    <row r="37" spans="2:7" ht="12">
      <c r="B37" s="7">
        <v>33</v>
      </c>
      <c r="C37" s="8" t="s">
        <v>186</v>
      </c>
      <c r="D37" s="8" t="s">
        <v>154</v>
      </c>
      <c r="E37" s="20">
        <v>32.31166658</v>
      </c>
      <c r="F37" s="10">
        <v>143.9438</v>
      </c>
      <c r="G37" s="11">
        <f t="shared" si="0"/>
        <v>4651.064071858204</v>
      </c>
    </row>
    <row r="38" spans="2:7" ht="12">
      <c r="B38" s="7">
        <v>34</v>
      </c>
      <c r="C38" s="8" t="s">
        <v>187</v>
      </c>
      <c r="D38" s="8" t="s">
        <v>154</v>
      </c>
      <c r="E38" s="20">
        <v>26.29666659</v>
      </c>
      <c r="F38" s="10">
        <v>168.246</v>
      </c>
      <c r="G38" s="11">
        <f t="shared" si="0"/>
        <v>4424.30896710114</v>
      </c>
    </row>
    <row r="39" spans="2:7" ht="12">
      <c r="B39" s="7">
        <v>35</v>
      </c>
      <c r="C39" s="8" t="s">
        <v>188</v>
      </c>
      <c r="D39" s="8" t="s">
        <v>154</v>
      </c>
      <c r="E39" s="20">
        <v>0.46</v>
      </c>
      <c r="F39" s="10">
        <v>100.94760000000002</v>
      </c>
      <c r="G39" s="11">
        <f t="shared" si="0"/>
        <v>46.435896000000014</v>
      </c>
    </row>
    <row r="40" spans="2:7" ht="12">
      <c r="B40" s="7">
        <v>36</v>
      </c>
      <c r="C40" s="8" t="s">
        <v>189</v>
      </c>
      <c r="D40" s="8" t="s">
        <v>154</v>
      </c>
      <c r="E40" s="20">
        <v>0.46</v>
      </c>
      <c r="F40" s="10">
        <v>112.164</v>
      </c>
      <c r="G40" s="11">
        <f t="shared" si="0"/>
        <v>51.59544</v>
      </c>
    </row>
    <row r="41" spans="2:7" ht="12">
      <c r="B41" s="7">
        <v>37</v>
      </c>
      <c r="C41" s="8" t="s">
        <v>190</v>
      </c>
      <c r="D41" s="8" t="s">
        <v>154</v>
      </c>
      <c r="E41" s="20">
        <v>56.25</v>
      </c>
      <c r="F41" s="10">
        <v>100.94760000000002</v>
      </c>
      <c r="G41" s="11">
        <f t="shared" si="0"/>
        <v>5678.302500000002</v>
      </c>
    </row>
    <row r="42" spans="2:7" ht="12">
      <c r="B42" s="7">
        <v>38</v>
      </c>
      <c r="C42" s="8" t="s">
        <v>191</v>
      </c>
      <c r="D42" s="8" t="s">
        <v>154</v>
      </c>
      <c r="E42" s="20">
        <v>56.25</v>
      </c>
      <c r="F42" s="10">
        <v>126.18450000000001</v>
      </c>
      <c r="G42" s="11">
        <f t="shared" si="0"/>
        <v>7097.878125000001</v>
      </c>
    </row>
    <row r="43" spans="2:7" ht="12">
      <c r="B43" s="7">
        <v>39</v>
      </c>
      <c r="C43" s="8" t="s">
        <v>192</v>
      </c>
      <c r="D43" s="8" t="s">
        <v>154</v>
      </c>
      <c r="E43" s="20">
        <v>6.87</v>
      </c>
      <c r="F43" s="10">
        <v>126.18450000000001</v>
      </c>
      <c r="G43" s="11">
        <f t="shared" si="0"/>
        <v>866.8875150000001</v>
      </c>
    </row>
    <row r="44" spans="2:7" ht="24">
      <c r="B44" s="7">
        <v>40</v>
      </c>
      <c r="C44" s="8" t="s">
        <v>193</v>
      </c>
      <c r="D44" s="8" t="s">
        <v>194</v>
      </c>
      <c r="E44" s="20">
        <v>56.23092</v>
      </c>
      <c r="F44" s="10">
        <v>143.9438</v>
      </c>
      <c r="G44" s="11">
        <f t="shared" si="0"/>
        <v>8094.0923022960005</v>
      </c>
    </row>
    <row r="45" spans="2:7" ht="24">
      <c r="B45" s="7">
        <v>41</v>
      </c>
      <c r="C45" s="8" t="s">
        <v>195</v>
      </c>
      <c r="D45" s="8" t="s">
        <v>154</v>
      </c>
      <c r="E45" s="20">
        <v>18.32</v>
      </c>
      <c r="F45" s="10">
        <v>112.164</v>
      </c>
      <c r="G45" s="11">
        <f t="shared" si="0"/>
        <v>2054.84448</v>
      </c>
    </row>
    <row r="46" spans="2:7" ht="24">
      <c r="B46" s="7">
        <v>42</v>
      </c>
      <c r="C46" s="8" t="s">
        <v>196</v>
      </c>
      <c r="D46" s="8" t="s">
        <v>154</v>
      </c>
      <c r="E46" s="20">
        <v>62.69092</v>
      </c>
      <c r="F46" s="10">
        <v>126.18450000000001</v>
      </c>
      <c r="G46" s="11">
        <f t="shared" si="0"/>
        <v>7910.62239474</v>
      </c>
    </row>
    <row r="47" spans="2:7" ht="12">
      <c r="B47" s="182" t="s">
        <v>139</v>
      </c>
      <c r="C47" s="182"/>
      <c r="D47" s="182"/>
      <c r="E47" s="182"/>
      <c r="F47" s="182"/>
      <c r="G47" s="22">
        <f>SUM(G5:G46)</f>
        <v>197043.1127090843</v>
      </c>
    </row>
    <row r="48" spans="2:7" ht="12.75" customHeight="1">
      <c r="B48" s="183" t="s">
        <v>197</v>
      </c>
      <c r="C48" s="183"/>
      <c r="D48" s="183"/>
      <c r="E48" s="183"/>
      <c r="F48" s="183"/>
      <c r="G48" s="183"/>
    </row>
    <row r="49" spans="2:7" ht="24">
      <c r="B49" s="15">
        <v>43</v>
      </c>
      <c r="C49" s="16" t="s">
        <v>198</v>
      </c>
      <c r="D49" s="16" t="s">
        <v>199</v>
      </c>
      <c r="E49" s="17">
        <v>4.62</v>
      </c>
      <c r="F49" s="18">
        <v>15.7675</v>
      </c>
      <c r="G49" s="19">
        <f aca="true" t="shared" si="1" ref="G49:G80">E49*F49</f>
        <v>72.84585</v>
      </c>
    </row>
    <row r="50" spans="2:7" ht="24">
      <c r="B50" s="7">
        <v>44</v>
      </c>
      <c r="C50" s="8" t="s">
        <v>200</v>
      </c>
      <c r="D50" s="8" t="s">
        <v>199</v>
      </c>
      <c r="E50" s="20">
        <v>2.75</v>
      </c>
      <c r="F50" s="10">
        <v>24.525899999999996</v>
      </c>
      <c r="G50" s="11">
        <f t="shared" si="1"/>
        <v>67.44622499999998</v>
      </c>
    </row>
    <row r="51" spans="2:7" ht="24">
      <c r="B51" s="7">
        <v>45</v>
      </c>
      <c r="C51" s="8" t="s">
        <v>201</v>
      </c>
      <c r="D51" s="8" t="s">
        <v>199</v>
      </c>
      <c r="E51" s="20">
        <v>0</v>
      </c>
      <c r="F51" s="10">
        <v>30.464</v>
      </c>
      <c r="G51" s="11">
        <f t="shared" si="1"/>
        <v>0</v>
      </c>
    </row>
    <row r="52" spans="2:7" ht="24">
      <c r="B52" s="7">
        <v>46</v>
      </c>
      <c r="C52" s="8" t="s">
        <v>202</v>
      </c>
      <c r="D52" s="8" t="s">
        <v>199</v>
      </c>
      <c r="E52" s="20">
        <v>4.84</v>
      </c>
      <c r="F52" s="10">
        <v>41.1621</v>
      </c>
      <c r="G52" s="11">
        <f t="shared" si="1"/>
        <v>199.22456400000002</v>
      </c>
    </row>
    <row r="53" spans="2:7" ht="12">
      <c r="B53" s="7">
        <v>47</v>
      </c>
      <c r="C53" s="8" t="s">
        <v>203</v>
      </c>
      <c r="D53" s="8" t="s">
        <v>204</v>
      </c>
      <c r="E53" s="20">
        <v>2.124</v>
      </c>
      <c r="F53" s="10">
        <v>2678.7495</v>
      </c>
      <c r="G53" s="11">
        <f t="shared" si="1"/>
        <v>5689.663938</v>
      </c>
    </row>
    <row r="54" spans="2:7" ht="12">
      <c r="B54" s="7">
        <v>48</v>
      </c>
      <c r="C54" s="8" t="s">
        <v>205</v>
      </c>
      <c r="D54" s="8" t="s">
        <v>206</v>
      </c>
      <c r="E54" s="20">
        <v>0.20184</v>
      </c>
      <c r="F54" s="10">
        <v>386.0003</v>
      </c>
      <c r="G54" s="11">
        <f t="shared" si="1"/>
        <v>77.910300552</v>
      </c>
    </row>
    <row r="55" spans="2:7" ht="12">
      <c r="B55" s="7">
        <v>49</v>
      </c>
      <c r="C55" s="8" t="s">
        <v>207</v>
      </c>
      <c r="D55" s="8" t="s">
        <v>204</v>
      </c>
      <c r="E55" s="20">
        <v>5E-05</v>
      </c>
      <c r="F55" s="10">
        <v>57049.6591</v>
      </c>
      <c r="G55" s="11">
        <f t="shared" si="1"/>
        <v>2.852482955</v>
      </c>
    </row>
    <row r="56" spans="2:7" ht="12">
      <c r="B56" s="7">
        <v>50</v>
      </c>
      <c r="C56" s="8" t="s">
        <v>208</v>
      </c>
      <c r="D56" s="8" t="s">
        <v>204</v>
      </c>
      <c r="E56" s="20">
        <v>0.00252</v>
      </c>
      <c r="F56" s="10">
        <v>47629.78569999999</v>
      </c>
      <c r="G56" s="11">
        <f t="shared" si="1"/>
        <v>120.02705996399999</v>
      </c>
    </row>
    <row r="57" spans="2:7" ht="12">
      <c r="B57" s="7">
        <v>51</v>
      </c>
      <c r="C57" s="8" t="s">
        <v>209</v>
      </c>
      <c r="D57" s="8" t="s">
        <v>204</v>
      </c>
      <c r="E57" s="20">
        <v>0.0540456</v>
      </c>
      <c r="F57" s="10">
        <v>53278.061200000004</v>
      </c>
      <c r="G57" s="11">
        <f t="shared" si="1"/>
        <v>2879.44478439072</v>
      </c>
    </row>
    <row r="58" spans="2:7" ht="12">
      <c r="B58" s="7">
        <v>52</v>
      </c>
      <c r="C58" s="8" t="s">
        <v>210</v>
      </c>
      <c r="D58" s="8" t="s">
        <v>204</v>
      </c>
      <c r="E58" s="20">
        <v>0.00512</v>
      </c>
      <c r="F58" s="10">
        <v>14199.377499999999</v>
      </c>
      <c r="G58" s="11">
        <f t="shared" si="1"/>
        <v>72.7008128</v>
      </c>
    </row>
    <row r="59" spans="2:7" ht="24">
      <c r="B59" s="7">
        <v>53</v>
      </c>
      <c r="C59" s="8" t="s">
        <v>211</v>
      </c>
      <c r="D59" s="8" t="s">
        <v>204</v>
      </c>
      <c r="E59" s="20">
        <v>0.00105</v>
      </c>
      <c r="F59" s="10">
        <v>58783.7271</v>
      </c>
      <c r="G59" s="11">
        <f t="shared" si="1"/>
        <v>61.72291345499999</v>
      </c>
    </row>
    <row r="60" spans="2:7" ht="24">
      <c r="B60" s="7">
        <v>54</v>
      </c>
      <c r="C60" s="8" t="s">
        <v>212</v>
      </c>
      <c r="D60" s="8" t="s">
        <v>204</v>
      </c>
      <c r="E60" s="20">
        <v>0.00324</v>
      </c>
      <c r="F60" s="10">
        <v>64294.6409</v>
      </c>
      <c r="G60" s="11">
        <f t="shared" si="1"/>
        <v>208.31463651599998</v>
      </c>
    </row>
    <row r="61" spans="2:7" ht="12">
      <c r="B61" s="7">
        <v>55</v>
      </c>
      <c r="C61" s="8" t="s">
        <v>213</v>
      </c>
      <c r="D61" s="8" t="s">
        <v>204</v>
      </c>
      <c r="E61" s="20">
        <v>0.011105</v>
      </c>
      <c r="F61" s="10">
        <v>83700.792</v>
      </c>
      <c r="G61" s="11">
        <f t="shared" si="1"/>
        <v>929.49729516</v>
      </c>
    </row>
    <row r="62" spans="2:7" ht="24">
      <c r="B62" s="7">
        <v>56</v>
      </c>
      <c r="C62" s="8" t="s">
        <v>214</v>
      </c>
      <c r="D62" s="8" t="s">
        <v>199</v>
      </c>
      <c r="E62" s="20">
        <v>12</v>
      </c>
      <c r="F62" s="10">
        <v>81.96719999999999</v>
      </c>
      <c r="G62" s="11">
        <f t="shared" si="1"/>
        <v>983.6063999999999</v>
      </c>
    </row>
    <row r="63" spans="2:7" ht="12">
      <c r="B63" s="7">
        <v>57</v>
      </c>
      <c r="C63" s="8" t="s">
        <v>215</v>
      </c>
      <c r="D63" s="8" t="s">
        <v>199</v>
      </c>
      <c r="E63" s="20">
        <v>8</v>
      </c>
      <c r="F63" s="10">
        <v>160.54289999999997</v>
      </c>
      <c r="G63" s="11">
        <f t="shared" si="1"/>
        <v>1284.3431999999998</v>
      </c>
    </row>
    <row r="64" spans="2:7" ht="12">
      <c r="B64" s="7">
        <v>58</v>
      </c>
      <c r="C64" s="8" t="s">
        <v>216</v>
      </c>
      <c r="D64" s="8" t="s">
        <v>217</v>
      </c>
      <c r="E64" s="20">
        <v>0.581</v>
      </c>
      <c r="F64" s="10">
        <v>20.741699999999998</v>
      </c>
      <c r="G64" s="11">
        <f t="shared" si="1"/>
        <v>12.050927699999997</v>
      </c>
    </row>
    <row r="65" spans="2:7" ht="12">
      <c r="B65" s="7">
        <v>59</v>
      </c>
      <c r="C65" s="8" t="s">
        <v>218</v>
      </c>
      <c r="D65" s="8" t="s">
        <v>206</v>
      </c>
      <c r="E65" s="20">
        <v>52.633748</v>
      </c>
      <c r="F65" s="10">
        <v>28.6433</v>
      </c>
      <c r="G65" s="11">
        <f t="shared" si="1"/>
        <v>1507.6042340883998</v>
      </c>
    </row>
    <row r="66" spans="2:7" ht="12">
      <c r="B66" s="7">
        <v>60</v>
      </c>
      <c r="C66" s="8" t="s">
        <v>219</v>
      </c>
      <c r="D66" s="8" t="s">
        <v>220</v>
      </c>
      <c r="E66" s="20">
        <v>0.00366</v>
      </c>
      <c r="F66" s="10">
        <v>26752.7708</v>
      </c>
      <c r="G66" s="11">
        <f t="shared" si="1"/>
        <v>97.915141128</v>
      </c>
    </row>
    <row r="67" spans="2:7" ht="12">
      <c r="B67" s="7">
        <v>61</v>
      </c>
      <c r="C67" s="8" t="s">
        <v>221</v>
      </c>
      <c r="D67" s="8" t="s">
        <v>204</v>
      </c>
      <c r="E67" s="20">
        <v>0.00024</v>
      </c>
      <c r="F67" s="10">
        <v>37276.274</v>
      </c>
      <c r="G67" s="11">
        <f t="shared" si="1"/>
        <v>8.94630576</v>
      </c>
    </row>
    <row r="68" spans="2:7" ht="12">
      <c r="B68" s="7">
        <v>62</v>
      </c>
      <c r="C68" s="8" t="s">
        <v>222</v>
      </c>
      <c r="D68" s="8" t="s">
        <v>217</v>
      </c>
      <c r="E68" s="20">
        <v>0.209</v>
      </c>
      <c r="F68" s="10">
        <v>317.94419999999997</v>
      </c>
      <c r="G68" s="11">
        <f t="shared" si="1"/>
        <v>66.45033779999999</v>
      </c>
    </row>
    <row r="69" spans="2:7" ht="12">
      <c r="B69" s="7">
        <v>63</v>
      </c>
      <c r="C69" s="8" t="s">
        <v>223</v>
      </c>
      <c r="D69" s="8" t="s">
        <v>224</v>
      </c>
      <c r="E69" s="20">
        <v>5.31</v>
      </c>
      <c r="F69" s="10">
        <v>37.9967</v>
      </c>
      <c r="G69" s="11">
        <f t="shared" si="1"/>
        <v>201.76247699999996</v>
      </c>
    </row>
    <row r="70" spans="2:7" ht="12">
      <c r="B70" s="7">
        <v>64</v>
      </c>
      <c r="C70" s="8" t="s">
        <v>225</v>
      </c>
      <c r="D70" s="8" t="s">
        <v>204</v>
      </c>
      <c r="E70" s="20">
        <v>0.0017499</v>
      </c>
      <c r="F70" s="10">
        <v>22783.5853</v>
      </c>
      <c r="G70" s="11">
        <f t="shared" si="1"/>
        <v>39.86899591647</v>
      </c>
    </row>
    <row r="71" spans="2:7" ht="12">
      <c r="B71" s="7">
        <v>65</v>
      </c>
      <c r="C71" s="8" t="s">
        <v>226</v>
      </c>
      <c r="D71" s="8" t="s">
        <v>206</v>
      </c>
      <c r="E71" s="20">
        <v>0.00036</v>
      </c>
      <c r="F71" s="10">
        <v>1071.0594999999998</v>
      </c>
      <c r="G71" s="11">
        <f t="shared" si="1"/>
        <v>0.38558141999999995</v>
      </c>
    </row>
    <row r="72" spans="2:7" ht="24">
      <c r="B72" s="7">
        <v>66</v>
      </c>
      <c r="C72" s="8" t="s">
        <v>227</v>
      </c>
      <c r="D72" s="8" t="s">
        <v>204</v>
      </c>
      <c r="E72" s="20">
        <v>0.00070075</v>
      </c>
      <c r="F72" s="10">
        <v>79242.7664</v>
      </c>
      <c r="G72" s="11">
        <f t="shared" si="1"/>
        <v>55.529368554799994</v>
      </c>
    </row>
    <row r="73" spans="2:7" ht="24">
      <c r="B73" s="7">
        <v>67</v>
      </c>
      <c r="C73" s="8" t="s">
        <v>228</v>
      </c>
      <c r="D73" s="8" t="s">
        <v>204</v>
      </c>
      <c r="E73" s="20">
        <v>8.4E-05</v>
      </c>
      <c r="F73" s="10">
        <v>78337.7</v>
      </c>
      <c r="G73" s="11">
        <f t="shared" si="1"/>
        <v>6.580366799999999</v>
      </c>
    </row>
    <row r="74" spans="2:7" ht="24">
      <c r="B74" s="7">
        <v>68</v>
      </c>
      <c r="C74" s="8" t="s">
        <v>229</v>
      </c>
      <c r="D74" s="8" t="s">
        <v>199</v>
      </c>
      <c r="E74" s="20">
        <v>1.5</v>
      </c>
      <c r="F74" s="10">
        <v>2499.476</v>
      </c>
      <c r="G74" s="11">
        <f t="shared" si="1"/>
        <v>3749.214</v>
      </c>
    </row>
    <row r="75" spans="2:7" ht="12">
      <c r="B75" s="7">
        <v>69</v>
      </c>
      <c r="C75" s="8" t="s">
        <v>230</v>
      </c>
      <c r="D75" s="8" t="s">
        <v>204</v>
      </c>
      <c r="E75" s="20">
        <v>0.00361</v>
      </c>
      <c r="F75" s="10">
        <v>2550.4556</v>
      </c>
      <c r="G75" s="11">
        <f t="shared" si="1"/>
        <v>9.207144715999998</v>
      </c>
    </row>
    <row r="76" spans="2:7" ht="12">
      <c r="B76" s="7">
        <v>70</v>
      </c>
      <c r="C76" s="8" t="s">
        <v>231</v>
      </c>
      <c r="D76" s="8" t="s">
        <v>217</v>
      </c>
      <c r="E76" s="20">
        <v>0.00273</v>
      </c>
      <c r="F76" s="10">
        <v>12.4593</v>
      </c>
      <c r="G76" s="11">
        <f t="shared" si="1"/>
        <v>0.034013889</v>
      </c>
    </row>
    <row r="77" spans="2:7" ht="12">
      <c r="B77" s="7">
        <v>71</v>
      </c>
      <c r="C77" s="8" t="s">
        <v>232</v>
      </c>
      <c r="D77" s="8" t="s">
        <v>217</v>
      </c>
      <c r="E77" s="20">
        <v>0.408</v>
      </c>
      <c r="F77" s="10">
        <v>237.6549</v>
      </c>
      <c r="G77" s="11">
        <f t="shared" si="1"/>
        <v>96.96319919999999</v>
      </c>
    </row>
    <row r="78" spans="2:7" ht="12">
      <c r="B78" s="7">
        <v>72</v>
      </c>
      <c r="C78" s="8" t="s">
        <v>233</v>
      </c>
      <c r="D78" s="8" t="s">
        <v>224</v>
      </c>
      <c r="E78" s="20">
        <v>0.03</v>
      </c>
      <c r="F78" s="10">
        <v>43.434999999999995</v>
      </c>
      <c r="G78" s="11">
        <f t="shared" si="1"/>
        <v>1.3030499999999998</v>
      </c>
    </row>
    <row r="79" spans="2:7" ht="12">
      <c r="B79" s="7">
        <v>73</v>
      </c>
      <c r="C79" s="8" t="s">
        <v>234</v>
      </c>
      <c r="D79" s="8" t="s">
        <v>204</v>
      </c>
      <c r="E79" s="20">
        <v>0.00036</v>
      </c>
      <c r="F79" s="10">
        <v>50747.5381</v>
      </c>
      <c r="G79" s="11">
        <f t="shared" si="1"/>
        <v>18.269113716</v>
      </c>
    </row>
    <row r="80" spans="2:7" ht="12">
      <c r="B80" s="7">
        <v>74</v>
      </c>
      <c r="C80" s="8" t="s">
        <v>235</v>
      </c>
      <c r="D80" s="8" t="s">
        <v>204</v>
      </c>
      <c r="E80" s="20">
        <v>0.0029301</v>
      </c>
      <c r="F80" s="10">
        <v>52734.83809999999</v>
      </c>
      <c r="G80" s="11">
        <f t="shared" si="1"/>
        <v>154.51834911681</v>
      </c>
    </row>
    <row r="81" spans="2:7" ht="12">
      <c r="B81" s="7">
        <v>75</v>
      </c>
      <c r="C81" s="8" t="s">
        <v>236</v>
      </c>
      <c r="D81" s="8" t="s">
        <v>206</v>
      </c>
      <c r="E81" s="20">
        <v>0.2211</v>
      </c>
      <c r="F81" s="10">
        <v>61.77289999999999</v>
      </c>
      <c r="G81" s="11">
        <f aca="true" t="shared" si="2" ref="G81:G112">E81*F81</f>
        <v>13.657988189999998</v>
      </c>
    </row>
    <row r="82" spans="2:7" ht="12">
      <c r="B82" s="7">
        <v>76</v>
      </c>
      <c r="C82" s="8" t="s">
        <v>237</v>
      </c>
      <c r="D82" s="8" t="s">
        <v>199</v>
      </c>
      <c r="E82" s="20">
        <v>30</v>
      </c>
      <c r="F82" s="10">
        <v>39.9126</v>
      </c>
      <c r="G82" s="11">
        <f t="shared" si="2"/>
        <v>1197.378</v>
      </c>
    </row>
    <row r="83" spans="2:7" ht="12">
      <c r="B83" s="7">
        <v>77</v>
      </c>
      <c r="C83" s="8" t="s">
        <v>238</v>
      </c>
      <c r="D83" s="8" t="s">
        <v>204</v>
      </c>
      <c r="E83" s="20">
        <v>0.0002</v>
      </c>
      <c r="F83" s="10">
        <v>40326.101200000005</v>
      </c>
      <c r="G83" s="11">
        <f t="shared" si="2"/>
        <v>8.065220240000002</v>
      </c>
    </row>
    <row r="84" spans="2:7" ht="12">
      <c r="B84" s="7">
        <v>78</v>
      </c>
      <c r="C84" s="8" t="s">
        <v>239</v>
      </c>
      <c r="D84" s="8" t="s">
        <v>204</v>
      </c>
      <c r="E84" s="20">
        <v>0.00021</v>
      </c>
      <c r="F84" s="10">
        <v>78217.31959999999</v>
      </c>
      <c r="G84" s="11">
        <f t="shared" si="2"/>
        <v>16.425637115999997</v>
      </c>
    </row>
    <row r="85" spans="2:7" ht="12">
      <c r="B85" s="7">
        <v>79</v>
      </c>
      <c r="C85" s="8" t="s">
        <v>240</v>
      </c>
      <c r="D85" s="8" t="s">
        <v>204</v>
      </c>
      <c r="E85" s="20">
        <v>0.001615</v>
      </c>
      <c r="F85" s="10">
        <v>39962.984599999996</v>
      </c>
      <c r="G85" s="11">
        <f t="shared" si="2"/>
        <v>64.54022012899999</v>
      </c>
    </row>
    <row r="86" spans="2:7" ht="12">
      <c r="B86" s="7">
        <v>80</v>
      </c>
      <c r="C86" s="8" t="s">
        <v>241</v>
      </c>
      <c r="D86" s="8" t="s">
        <v>224</v>
      </c>
      <c r="E86" s="20">
        <v>0.155</v>
      </c>
      <c r="F86" s="10">
        <v>22.764699999999998</v>
      </c>
      <c r="G86" s="11">
        <f t="shared" si="2"/>
        <v>3.5285284999999997</v>
      </c>
    </row>
    <row r="87" spans="2:7" ht="12">
      <c r="B87" s="7">
        <v>81</v>
      </c>
      <c r="C87" s="8" t="s">
        <v>242</v>
      </c>
      <c r="D87" s="8" t="s">
        <v>217</v>
      </c>
      <c r="E87" s="20">
        <v>52.1914</v>
      </c>
      <c r="F87" s="10">
        <v>46.0173</v>
      </c>
      <c r="G87" s="11">
        <f t="shared" si="2"/>
        <v>2401.70731122</v>
      </c>
    </row>
    <row r="88" spans="2:7" ht="12">
      <c r="B88" s="7">
        <v>82</v>
      </c>
      <c r="C88" s="8" t="s">
        <v>243</v>
      </c>
      <c r="D88" s="8" t="s">
        <v>204</v>
      </c>
      <c r="E88" s="20">
        <v>3E-05</v>
      </c>
      <c r="F88" s="10">
        <v>41532.666</v>
      </c>
      <c r="G88" s="11">
        <f t="shared" si="2"/>
        <v>1.24597998</v>
      </c>
    </row>
    <row r="89" spans="2:7" ht="12">
      <c r="B89" s="7">
        <v>83</v>
      </c>
      <c r="C89" s="8" t="s">
        <v>244</v>
      </c>
      <c r="D89" s="8" t="s">
        <v>217</v>
      </c>
      <c r="E89" s="20">
        <v>2.109</v>
      </c>
      <c r="F89" s="10">
        <v>58.750299999999996</v>
      </c>
      <c r="G89" s="11">
        <f t="shared" si="2"/>
        <v>123.90438269999999</v>
      </c>
    </row>
    <row r="90" spans="2:7" ht="24">
      <c r="B90" s="7">
        <v>84</v>
      </c>
      <c r="C90" s="8" t="s">
        <v>245</v>
      </c>
      <c r="D90" s="8" t="s">
        <v>217</v>
      </c>
      <c r="E90" s="20">
        <v>6</v>
      </c>
      <c r="F90" s="10">
        <v>116.02499999999999</v>
      </c>
      <c r="G90" s="11">
        <f t="shared" si="2"/>
        <v>696.15</v>
      </c>
    </row>
    <row r="91" spans="2:7" ht="36">
      <c r="B91" s="7">
        <v>85</v>
      </c>
      <c r="C91" s="8" t="s">
        <v>246</v>
      </c>
      <c r="D91" s="8" t="s">
        <v>204</v>
      </c>
      <c r="E91" s="20">
        <v>0.00544</v>
      </c>
      <c r="F91" s="10">
        <v>31272.5693</v>
      </c>
      <c r="G91" s="11">
        <f t="shared" si="2"/>
        <v>170.122776992</v>
      </c>
    </row>
    <row r="92" spans="2:7" ht="24">
      <c r="B92" s="7">
        <v>86</v>
      </c>
      <c r="C92" s="8" t="s">
        <v>247</v>
      </c>
      <c r="D92" s="8" t="s">
        <v>204</v>
      </c>
      <c r="E92" s="20">
        <v>5E-05</v>
      </c>
      <c r="F92" s="10">
        <v>326718.8197</v>
      </c>
      <c r="G92" s="11">
        <f t="shared" si="2"/>
        <v>16.335940985</v>
      </c>
    </row>
    <row r="93" spans="2:7" ht="12">
      <c r="B93" s="7">
        <v>87</v>
      </c>
      <c r="C93" s="8" t="s">
        <v>248</v>
      </c>
      <c r="D93" s="8" t="s">
        <v>217</v>
      </c>
      <c r="E93" s="20">
        <v>0.146</v>
      </c>
      <c r="F93" s="10">
        <v>62.3441</v>
      </c>
      <c r="G93" s="11">
        <f t="shared" si="2"/>
        <v>9.1022386</v>
      </c>
    </row>
    <row r="94" spans="2:7" ht="12">
      <c r="B94" s="7">
        <v>88</v>
      </c>
      <c r="C94" s="8" t="s">
        <v>249</v>
      </c>
      <c r="D94" s="8" t="s">
        <v>204</v>
      </c>
      <c r="E94" s="20">
        <v>7.2E-05</v>
      </c>
      <c r="F94" s="10">
        <v>60639.5321</v>
      </c>
      <c r="G94" s="11">
        <f t="shared" si="2"/>
        <v>4.3660463112</v>
      </c>
    </row>
    <row r="95" spans="2:7" ht="12">
      <c r="B95" s="7">
        <v>89</v>
      </c>
      <c r="C95" s="8" t="s">
        <v>250</v>
      </c>
      <c r="D95" s="8" t="s">
        <v>204</v>
      </c>
      <c r="E95" s="20">
        <v>0.396</v>
      </c>
      <c r="F95" s="10">
        <v>26056.2043</v>
      </c>
      <c r="G95" s="11">
        <f t="shared" si="2"/>
        <v>10318.256902800002</v>
      </c>
    </row>
    <row r="96" spans="2:7" ht="12">
      <c r="B96" s="7">
        <v>90</v>
      </c>
      <c r="C96" s="8" t="s">
        <v>251</v>
      </c>
      <c r="D96" s="8" t="s">
        <v>217</v>
      </c>
      <c r="E96" s="20">
        <v>0.45</v>
      </c>
      <c r="F96" s="10">
        <v>125.6164</v>
      </c>
      <c r="G96" s="11">
        <f t="shared" si="2"/>
        <v>56.52738</v>
      </c>
    </row>
    <row r="97" spans="2:7" ht="24">
      <c r="B97" s="7">
        <v>91</v>
      </c>
      <c r="C97" s="8" t="s">
        <v>252</v>
      </c>
      <c r="D97" s="8" t="s">
        <v>204</v>
      </c>
      <c r="E97" s="20">
        <v>0.0006501</v>
      </c>
      <c r="F97" s="10">
        <v>59302.8051</v>
      </c>
      <c r="G97" s="11">
        <f t="shared" si="2"/>
        <v>38.55275359551</v>
      </c>
    </row>
    <row r="98" spans="2:7" ht="12">
      <c r="B98" s="7">
        <v>92</v>
      </c>
      <c r="C98" s="8" t="s">
        <v>253</v>
      </c>
      <c r="D98" s="8" t="s">
        <v>204</v>
      </c>
      <c r="E98" s="20">
        <v>0.1905</v>
      </c>
      <c r="F98" s="10">
        <v>39254.803700000004</v>
      </c>
      <c r="G98" s="11">
        <f t="shared" si="2"/>
        <v>7478.040104850001</v>
      </c>
    </row>
    <row r="99" spans="2:7" ht="12">
      <c r="B99" s="7">
        <v>93</v>
      </c>
      <c r="C99" s="8" t="s">
        <v>254</v>
      </c>
      <c r="D99" s="8" t="s">
        <v>204</v>
      </c>
      <c r="E99" s="20">
        <v>0.000155</v>
      </c>
      <c r="F99" s="10">
        <v>71280.0242</v>
      </c>
      <c r="G99" s="11">
        <f t="shared" si="2"/>
        <v>11.048403751</v>
      </c>
    </row>
    <row r="100" spans="2:7" ht="24">
      <c r="B100" s="7">
        <v>94</v>
      </c>
      <c r="C100" s="8" t="s">
        <v>255</v>
      </c>
      <c r="D100" s="8" t="s">
        <v>206</v>
      </c>
      <c r="E100" s="20">
        <v>0.01064</v>
      </c>
      <c r="F100" s="10">
        <v>2333.4114999999997</v>
      </c>
      <c r="G100" s="11">
        <f t="shared" si="2"/>
        <v>24.827498359999996</v>
      </c>
    </row>
    <row r="101" spans="2:7" ht="12">
      <c r="B101" s="7">
        <v>95</v>
      </c>
      <c r="C101" s="8" t="s">
        <v>256</v>
      </c>
      <c r="D101" s="8" t="s">
        <v>199</v>
      </c>
      <c r="E101" s="20">
        <v>645.8</v>
      </c>
      <c r="F101" s="10">
        <v>3.7960999999999996</v>
      </c>
      <c r="G101" s="11">
        <f t="shared" si="2"/>
        <v>2451.5213799999997</v>
      </c>
    </row>
    <row r="102" spans="2:7" ht="12">
      <c r="B102" s="7">
        <v>96</v>
      </c>
      <c r="C102" s="8" t="s">
        <v>257</v>
      </c>
      <c r="D102" s="8" t="s">
        <v>217</v>
      </c>
      <c r="E102" s="20">
        <v>9.3192</v>
      </c>
      <c r="F102" s="10">
        <v>176.02479999999997</v>
      </c>
      <c r="G102" s="11">
        <f t="shared" si="2"/>
        <v>1640.4103161599999</v>
      </c>
    </row>
    <row r="103" spans="2:7" ht="12">
      <c r="B103" s="7">
        <v>97</v>
      </c>
      <c r="C103" s="8" t="s">
        <v>258</v>
      </c>
      <c r="D103" s="8" t="s">
        <v>217</v>
      </c>
      <c r="E103" s="20">
        <v>0.475</v>
      </c>
      <c r="F103" s="10">
        <v>35.319199999999995</v>
      </c>
      <c r="G103" s="11">
        <f t="shared" si="2"/>
        <v>16.776619999999998</v>
      </c>
    </row>
    <row r="104" spans="2:7" ht="24">
      <c r="B104" s="7">
        <v>98</v>
      </c>
      <c r="C104" s="8" t="s">
        <v>259</v>
      </c>
      <c r="D104" s="8" t="s">
        <v>204</v>
      </c>
      <c r="E104" s="20">
        <v>0.000122</v>
      </c>
      <c r="F104" s="10">
        <v>340343.0821</v>
      </c>
      <c r="G104" s="11">
        <f t="shared" si="2"/>
        <v>41.5218560162</v>
      </c>
    </row>
    <row r="105" spans="2:7" ht="12">
      <c r="B105" s="7">
        <v>99</v>
      </c>
      <c r="C105" s="8" t="s">
        <v>260</v>
      </c>
      <c r="D105" s="8" t="s">
        <v>199</v>
      </c>
      <c r="E105" s="20">
        <v>30</v>
      </c>
      <c r="F105" s="10">
        <v>65.02159999999999</v>
      </c>
      <c r="G105" s="11">
        <f t="shared" si="2"/>
        <v>1950.6479999999997</v>
      </c>
    </row>
    <row r="106" spans="2:7" ht="12">
      <c r="B106" s="7">
        <v>100</v>
      </c>
      <c r="C106" s="8" t="s">
        <v>261</v>
      </c>
      <c r="D106" s="8" t="s">
        <v>204</v>
      </c>
      <c r="E106" s="20">
        <v>0.000106</v>
      </c>
      <c r="F106" s="10">
        <v>36366.5904</v>
      </c>
      <c r="G106" s="11">
        <f t="shared" si="2"/>
        <v>3.8548585824000003</v>
      </c>
    </row>
    <row r="107" spans="2:7" ht="12">
      <c r="B107" s="7">
        <v>101</v>
      </c>
      <c r="C107" s="8" t="s">
        <v>262</v>
      </c>
      <c r="D107" s="8" t="s">
        <v>217</v>
      </c>
      <c r="E107" s="20">
        <v>5.22315</v>
      </c>
      <c r="F107" s="10">
        <v>107.4451</v>
      </c>
      <c r="G107" s="11">
        <f t="shared" si="2"/>
        <v>561.201874065</v>
      </c>
    </row>
    <row r="108" spans="2:7" ht="12">
      <c r="B108" s="7">
        <v>102</v>
      </c>
      <c r="C108" s="8" t="s">
        <v>263</v>
      </c>
      <c r="D108" s="8" t="s">
        <v>217</v>
      </c>
      <c r="E108" s="20">
        <v>0.0976</v>
      </c>
      <c r="F108" s="10">
        <v>58.750299999999996</v>
      </c>
      <c r="G108" s="11">
        <f t="shared" si="2"/>
        <v>5.73402928</v>
      </c>
    </row>
    <row r="109" spans="2:7" ht="12">
      <c r="B109" s="7">
        <v>103</v>
      </c>
      <c r="C109" s="8" t="s">
        <v>264</v>
      </c>
      <c r="D109" s="8" t="s">
        <v>217</v>
      </c>
      <c r="E109" s="20">
        <v>0.141</v>
      </c>
      <c r="F109" s="10">
        <v>61.4397</v>
      </c>
      <c r="G109" s="11">
        <f t="shared" si="2"/>
        <v>8.6629977</v>
      </c>
    </row>
    <row r="110" spans="2:7" ht="12">
      <c r="B110" s="7">
        <v>104</v>
      </c>
      <c r="C110" s="8" t="s">
        <v>265</v>
      </c>
      <c r="D110" s="8" t="s">
        <v>204</v>
      </c>
      <c r="E110" s="20">
        <v>2.5E-05</v>
      </c>
      <c r="F110" s="10">
        <v>191386.629</v>
      </c>
      <c r="G110" s="11">
        <f t="shared" si="2"/>
        <v>4.784665725</v>
      </c>
    </row>
    <row r="111" spans="2:7" ht="12">
      <c r="B111" s="7">
        <v>105</v>
      </c>
      <c r="C111" s="8" t="s">
        <v>266</v>
      </c>
      <c r="D111" s="8" t="s">
        <v>204</v>
      </c>
      <c r="E111" s="20">
        <v>0.021375</v>
      </c>
      <c r="F111" s="10">
        <v>7450.3996</v>
      </c>
      <c r="G111" s="11">
        <f t="shared" si="2"/>
        <v>159.25229145</v>
      </c>
    </row>
    <row r="112" spans="2:7" ht="24">
      <c r="B112" s="7">
        <v>106</v>
      </c>
      <c r="C112" s="8" t="s">
        <v>267</v>
      </c>
      <c r="D112" s="8" t="s">
        <v>206</v>
      </c>
      <c r="E112" s="20">
        <v>0.00023762</v>
      </c>
      <c r="F112" s="10">
        <v>713.8096</v>
      </c>
      <c r="G112" s="11">
        <f t="shared" si="2"/>
        <v>0.169615437152</v>
      </c>
    </row>
    <row r="113" spans="2:7" ht="12">
      <c r="B113" s="7">
        <v>107</v>
      </c>
      <c r="C113" s="8" t="s">
        <v>268</v>
      </c>
      <c r="D113" s="8" t="s">
        <v>204</v>
      </c>
      <c r="E113" s="20">
        <v>0.1125</v>
      </c>
      <c r="F113" s="10">
        <v>45366.90549999999</v>
      </c>
      <c r="G113" s="11">
        <f aca="true" t="shared" si="3" ref="G113:G144">E113*F113</f>
        <v>5103.776868749999</v>
      </c>
    </row>
    <row r="114" spans="2:7" ht="12">
      <c r="B114" s="7">
        <v>108</v>
      </c>
      <c r="C114" s="8" t="s">
        <v>269</v>
      </c>
      <c r="D114" s="8" t="s">
        <v>217</v>
      </c>
      <c r="E114" s="20">
        <v>0.312</v>
      </c>
      <c r="F114" s="10">
        <v>162.44689999999997</v>
      </c>
      <c r="G114" s="11">
        <f t="shared" si="3"/>
        <v>50.68343279999999</v>
      </c>
    </row>
    <row r="115" spans="2:7" ht="12">
      <c r="B115" s="7">
        <v>109</v>
      </c>
      <c r="C115" s="8" t="s">
        <v>270</v>
      </c>
      <c r="D115" s="8" t="s">
        <v>204</v>
      </c>
      <c r="E115" s="20">
        <v>3E-05</v>
      </c>
      <c r="F115" s="10">
        <v>55551.234899999996</v>
      </c>
      <c r="G115" s="11">
        <f t="shared" si="3"/>
        <v>1.6665370469999998</v>
      </c>
    </row>
    <row r="116" spans="2:7" ht="12">
      <c r="B116" s="7">
        <v>110</v>
      </c>
      <c r="C116" s="8" t="s">
        <v>271</v>
      </c>
      <c r="D116" s="8" t="s">
        <v>199</v>
      </c>
      <c r="E116" s="20">
        <v>4</v>
      </c>
      <c r="F116" s="10">
        <v>856.7643</v>
      </c>
      <c r="G116" s="11">
        <f t="shared" si="3"/>
        <v>3427.0572</v>
      </c>
    </row>
    <row r="117" spans="2:7" ht="12">
      <c r="B117" s="7">
        <v>111</v>
      </c>
      <c r="C117" s="8" t="s">
        <v>272</v>
      </c>
      <c r="D117" s="8" t="s">
        <v>217</v>
      </c>
      <c r="E117" s="20">
        <v>0.005</v>
      </c>
      <c r="F117" s="10">
        <v>183.08149999999998</v>
      </c>
      <c r="G117" s="11">
        <f t="shared" si="3"/>
        <v>0.9154074999999999</v>
      </c>
    </row>
    <row r="118" spans="2:7" ht="12">
      <c r="B118" s="7">
        <v>112</v>
      </c>
      <c r="C118" s="8" t="s">
        <v>273</v>
      </c>
      <c r="D118" s="8" t="s">
        <v>274</v>
      </c>
      <c r="E118" s="20">
        <v>0.0306</v>
      </c>
      <c r="F118" s="21">
        <v>2373.24</v>
      </c>
      <c r="G118" s="11">
        <f t="shared" si="3"/>
        <v>72.62114399999999</v>
      </c>
    </row>
    <row r="119" spans="2:7" ht="12">
      <c r="B119" s="7">
        <v>113</v>
      </c>
      <c r="C119" s="8" t="s">
        <v>275</v>
      </c>
      <c r="D119" s="8" t="s">
        <v>204</v>
      </c>
      <c r="E119" s="20">
        <v>0.0001404</v>
      </c>
      <c r="F119" s="10">
        <v>42258.70879999999</v>
      </c>
      <c r="G119" s="11">
        <f t="shared" si="3"/>
        <v>5.933122715519999</v>
      </c>
    </row>
    <row r="120" spans="2:7" ht="24">
      <c r="B120" s="7">
        <v>114</v>
      </c>
      <c r="C120" s="8" t="s">
        <v>276</v>
      </c>
      <c r="D120" s="8" t="s">
        <v>204</v>
      </c>
      <c r="E120" s="20">
        <v>4E-05</v>
      </c>
      <c r="F120" s="10">
        <v>52870.7242</v>
      </c>
      <c r="G120" s="11">
        <f t="shared" si="3"/>
        <v>2.114828968</v>
      </c>
    </row>
    <row r="121" spans="2:7" ht="12">
      <c r="B121" s="7">
        <v>115</v>
      </c>
      <c r="C121" s="8" t="s">
        <v>277</v>
      </c>
      <c r="D121" s="8" t="s">
        <v>220</v>
      </c>
      <c r="E121" s="20">
        <v>0.005</v>
      </c>
      <c r="F121" s="10">
        <v>17823.8676</v>
      </c>
      <c r="G121" s="11">
        <f t="shared" si="3"/>
        <v>89.11933800000001</v>
      </c>
    </row>
    <row r="122" spans="2:7" ht="12">
      <c r="B122" s="7">
        <v>116</v>
      </c>
      <c r="C122" s="8" t="s">
        <v>278</v>
      </c>
      <c r="D122" s="8" t="s">
        <v>206</v>
      </c>
      <c r="E122" s="20">
        <v>1.65</v>
      </c>
      <c r="F122" s="10">
        <v>2785.0046</v>
      </c>
      <c r="G122" s="11">
        <f t="shared" si="3"/>
        <v>4595.25759</v>
      </c>
    </row>
    <row r="123" spans="2:7" ht="12">
      <c r="B123" s="7">
        <v>117</v>
      </c>
      <c r="C123" s="8" t="s">
        <v>279</v>
      </c>
      <c r="D123" s="8" t="s">
        <v>206</v>
      </c>
      <c r="E123" s="20">
        <v>0.0023</v>
      </c>
      <c r="F123" s="10">
        <v>2742.9024</v>
      </c>
      <c r="G123" s="11">
        <f t="shared" si="3"/>
        <v>6.3086755199999995</v>
      </c>
    </row>
    <row r="124" spans="2:7" ht="12">
      <c r="B124" s="7">
        <v>118</v>
      </c>
      <c r="C124" s="8" t="s">
        <v>280</v>
      </c>
      <c r="D124" s="8" t="s">
        <v>206</v>
      </c>
      <c r="E124" s="20">
        <v>0.51</v>
      </c>
      <c r="F124" s="10">
        <v>2482.8041</v>
      </c>
      <c r="G124" s="11">
        <f t="shared" si="3"/>
        <v>1266.230091</v>
      </c>
    </row>
    <row r="125" spans="2:7" ht="12">
      <c r="B125" s="7">
        <v>119</v>
      </c>
      <c r="C125" s="8" t="s">
        <v>281</v>
      </c>
      <c r="D125" s="8" t="s">
        <v>206</v>
      </c>
      <c r="E125" s="20">
        <v>0.001</v>
      </c>
      <c r="F125" s="10">
        <v>3879.2452999999996</v>
      </c>
      <c r="G125" s="11">
        <f t="shared" si="3"/>
        <v>3.8792452999999996</v>
      </c>
    </row>
    <row r="126" spans="2:7" ht="12">
      <c r="B126" s="7">
        <v>120</v>
      </c>
      <c r="C126" s="8" t="s">
        <v>282</v>
      </c>
      <c r="D126" s="8" t="s">
        <v>204</v>
      </c>
      <c r="E126" s="20">
        <v>0.0012501</v>
      </c>
      <c r="F126" s="10">
        <v>61795.867</v>
      </c>
      <c r="G126" s="11">
        <f t="shared" si="3"/>
        <v>77.2510133367</v>
      </c>
    </row>
    <row r="127" spans="2:7" ht="12">
      <c r="B127" s="7">
        <v>121</v>
      </c>
      <c r="C127" s="8" t="s">
        <v>283</v>
      </c>
      <c r="D127" s="8" t="s">
        <v>199</v>
      </c>
      <c r="E127" s="20">
        <v>0.25</v>
      </c>
      <c r="F127" s="10">
        <v>135.9932</v>
      </c>
      <c r="G127" s="11">
        <f t="shared" si="3"/>
        <v>33.9983</v>
      </c>
    </row>
    <row r="128" spans="2:7" ht="12">
      <c r="B128" s="7">
        <v>122</v>
      </c>
      <c r="C128" s="8" t="s">
        <v>284</v>
      </c>
      <c r="D128" s="8" t="s">
        <v>199</v>
      </c>
      <c r="E128" s="20">
        <v>0.25</v>
      </c>
      <c r="F128" s="10">
        <v>15463.609699999999</v>
      </c>
      <c r="G128" s="11">
        <f t="shared" si="3"/>
        <v>3865.9024249999998</v>
      </c>
    </row>
    <row r="129" spans="2:7" ht="12">
      <c r="B129" s="7">
        <v>123</v>
      </c>
      <c r="C129" s="8" t="s">
        <v>285</v>
      </c>
      <c r="D129" s="8" t="s">
        <v>217</v>
      </c>
      <c r="E129" s="20">
        <v>0.8</v>
      </c>
      <c r="F129" s="10">
        <v>89.2262</v>
      </c>
      <c r="G129" s="11">
        <f t="shared" si="3"/>
        <v>71.38096</v>
      </c>
    </row>
    <row r="130" spans="2:7" ht="12">
      <c r="B130" s="7">
        <v>124</v>
      </c>
      <c r="C130" s="8" t="s">
        <v>286</v>
      </c>
      <c r="D130" s="8" t="s">
        <v>217</v>
      </c>
      <c r="E130" s="20">
        <v>0.05</v>
      </c>
      <c r="F130" s="10">
        <v>259.47950000000003</v>
      </c>
      <c r="G130" s="11">
        <f t="shared" si="3"/>
        <v>12.973975000000003</v>
      </c>
    </row>
    <row r="131" spans="2:7" ht="12">
      <c r="B131" s="7">
        <v>125</v>
      </c>
      <c r="C131" s="8" t="s">
        <v>287</v>
      </c>
      <c r="D131" s="8" t="s">
        <v>224</v>
      </c>
      <c r="E131" s="20">
        <v>138</v>
      </c>
      <c r="F131" s="10">
        <v>11.6382</v>
      </c>
      <c r="G131" s="11">
        <f t="shared" si="3"/>
        <v>1606.0716</v>
      </c>
    </row>
    <row r="132" spans="2:7" ht="12">
      <c r="B132" s="7">
        <v>126</v>
      </c>
      <c r="C132" s="8" t="s">
        <v>288</v>
      </c>
      <c r="D132" s="8" t="s">
        <v>199</v>
      </c>
      <c r="E132" s="20">
        <v>1.83</v>
      </c>
      <c r="F132" s="10">
        <v>15.4343</v>
      </c>
      <c r="G132" s="11">
        <f t="shared" si="3"/>
        <v>28.244769</v>
      </c>
    </row>
    <row r="133" spans="2:7" ht="12">
      <c r="B133" s="7">
        <v>127</v>
      </c>
      <c r="C133" s="8" t="s">
        <v>289</v>
      </c>
      <c r="D133" s="8" t="s">
        <v>217</v>
      </c>
      <c r="E133" s="20">
        <v>0.294</v>
      </c>
      <c r="F133" s="10">
        <v>37.8777</v>
      </c>
      <c r="G133" s="11">
        <f t="shared" si="3"/>
        <v>11.136043799999998</v>
      </c>
    </row>
    <row r="134" spans="2:7" ht="24">
      <c r="B134" s="7">
        <v>128</v>
      </c>
      <c r="C134" s="8" t="s">
        <v>290</v>
      </c>
      <c r="D134" s="8" t="s">
        <v>204</v>
      </c>
      <c r="E134" s="20">
        <v>0.00024</v>
      </c>
      <c r="F134" s="10">
        <v>174718.87019999998</v>
      </c>
      <c r="G134" s="11">
        <f t="shared" si="3"/>
        <v>41.932528848</v>
      </c>
    </row>
    <row r="135" spans="2:7" ht="24">
      <c r="B135" s="7">
        <v>129</v>
      </c>
      <c r="C135" s="8" t="s">
        <v>291</v>
      </c>
      <c r="D135" s="8" t="s">
        <v>204</v>
      </c>
      <c r="E135" s="20">
        <v>0.0003</v>
      </c>
      <c r="F135" s="10">
        <v>176273.2482</v>
      </c>
      <c r="G135" s="11">
        <f t="shared" si="3"/>
        <v>52.881974459999995</v>
      </c>
    </row>
    <row r="136" spans="2:7" ht="12">
      <c r="B136" s="7">
        <v>130</v>
      </c>
      <c r="C136" s="8" t="s">
        <v>292</v>
      </c>
      <c r="D136" s="8" t="s">
        <v>204</v>
      </c>
      <c r="E136" s="20">
        <v>0.01038</v>
      </c>
      <c r="F136" s="10">
        <v>29779.3811</v>
      </c>
      <c r="G136" s="11">
        <f t="shared" si="3"/>
        <v>309.109975818</v>
      </c>
    </row>
    <row r="137" spans="2:7" ht="24">
      <c r="B137" s="7">
        <v>131</v>
      </c>
      <c r="C137" s="8" t="s">
        <v>293</v>
      </c>
      <c r="D137" s="8" t="s">
        <v>224</v>
      </c>
      <c r="E137" s="20">
        <v>0.68666667</v>
      </c>
      <c r="F137" s="10">
        <v>191.0188</v>
      </c>
      <c r="G137" s="11">
        <f t="shared" si="3"/>
        <v>131.16624330339602</v>
      </c>
    </row>
    <row r="138" spans="2:7" ht="12">
      <c r="B138" s="7">
        <v>132</v>
      </c>
      <c r="C138" s="8" t="s">
        <v>294</v>
      </c>
      <c r="D138" s="8" t="s">
        <v>204</v>
      </c>
      <c r="E138" s="20">
        <v>1E-05</v>
      </c>
      <c r="F138" s="10">
        <v>41189.505699999994</v>
      </c>
      <c r="G138" s="11">
        <f t="shared" si="3"/>
        <v>0.41189505699999995</v>
      </c>
    </row>
    <row r="139" spans="2:7" ht="12">
      <c r="B139" s="7">
        <v>133</v>
      </c>
      <c r="C139" s="8" t="s">
        <v>295</v>
      </c>
      <c r="D139" s="8" t="s">
        <v>204</v>
      </c>
      <c r="E139" s="20">
        <v>0.0002442</v>
      </c>
      <c r="F139" s="10">
        <v>105713.1145</v>
      </c>
      <c r="G139" s="11">
        <f t="shared" si="3"/>
        <v>25.815142560900004</v>
      </c>
    </row>
    <row r="140" spans="2:7" ht="12">
      <c r="B140" s="7">
        <v>134</v>
      </c>
      <c r="C140" s="8" t="s">
        <v>296</v>
      </c>
      <c r="D140" s="8" t="s">
        <v>204</v>
      </c>
      <c r="E140" s="20">
        <v>0.00033</v>
      </c>
      <c r="F140" s="10">
        <v>7101.3726</v>
      </c>
      <c r="G140" s="11">
        <f t="shared" si="3"/>
        <v>2.343452958</v>
      </c>
    </row>
    <row r="141" spans="2:7" ht="12">
      <c r="B141" s="7">
        <v>135</v>
      </c>
      <c r="C141" s="8" t="s">
        <v>297</v>
      </c>
      <c r="D141" s="8" t="s">
        <v>298</v>
      </c>
      <c r="E141" s="20">
        <v>2.3298</v>
      </c>
      <c r="F141" s="10">
        <v>255.55249999999998</v>
      </c>
      <c r="G141" s="11">
        <f t="shared" si="3"/>
        <v>595.3862144999999</v>
      </c>
    </row>
    <row r="142" spans="2:7" ht="36">
      <c r="B142" s="7">
        <v>136</v>
      </c>
      <c r="C142" s="8" t="s">
        <v>299</v>
      </c>
      <c r="D142" s="8" t="s">
        <v>204</v>
      </c>
      <c r="E142" s="20">
        <v>0.0006</v>
      </c>
      <c r="F142" s="10">
        <v>27909.605499999998</v>
      </c>
      <c r="G142" s="11">
        <f t="shared" si="3"/>
        <v>16.745763299999997</v>
      </c>
    </row>
    <row r="143" spans="2:7" ht="12">
      <c r="B143" s="7">
        <v>137</v>
      </c>
      <c r="C143" s="8" t="s">
        <v>300</v>
      </c>
      <c r="D143" s="8" t="s">
        <v>301</v>
      </c>
      <c r="E143" s="20">
        <v>8</v>
      </c>
      <c r="F143" s="10">
        <v>177.2267</v>
      </c>
      <c r="G143" s="11">
        <f t="shared" si="3"/>
        <v>1417.8136</v>
      </c>
    </row>
    <row r="144" spans="2:7" ht="12">
      <c r="B144" s="7">
        <v>138</v>
      </c>
      <c r="C144" s="8" t="s">
        <v>302</v>
      </c>
      <c r="D144" s="8" t="s">
        <v>301</v>
      </c>
      <c r="E144" s="20">
        <v>12.2</v>
      </c>
      <c r="F144" s="10">
        <v>230.6934</v>
      </c>
      <c r="G144" s="11">
        <f t="shared" si="3"/>
        <v>2814.45948</v>
      </c>
    </row>
    <row r="145" spans="2:7" ht="24">
      <c r="B145" s="7">
        <v>139</v>
      </c>
      <c r="C145" s="8" t="s">
        <v>303</v>
      </c>
      <c r="D145" s="8" t="s">
        <v>301</v>
      </c>
      <c r="E145" s="20">
        <v>9.98</v>
      </c>
      <c r="F145" s="10">
        <v>115.51329999999999</v>
      </c>
      <c r="G145" s="11">
        <f aca="true" t="shared" si="4" ref="G145:G159">E145*F145</f>
        <v>1152.8227339999999</v>
      </c>
    </row>
    <row r="146" spans="2:7" ht="24">
      <c r="B146" s="7">
        <v>140</v>
      </c>
      <c r="C146" s="8" t="s">
        <v>304</v>
      </c>
      <c r="D146" s="8" t="s">
        <v>301</v>
      </c>
      <c r="E146" s="20">
        <v>9.98</v>
      </c>
      <c r="F146" s="10">
        <v>206.4174</v>
      </c>
      <c r="G146" s="11">
        <f t="shared" si="4"/>
        <v>2060.045652</v>
      </c>
    </row>
    <row r="147" spans="2:7" ht="36">
      <c r="B147" s="7">
        <v>141</v>
      </c>
      <c r="C147" s="8" t="s">
        <v>305</v>
      </c>
      <c r="D147" s="8" t="s">
        <v>301</v>
      </c>
      <c r="E147" s="20">
        <v>0</v>
      </c>
      <c r="F147" s="10">
        <v>117.67909999999999</v>
      </c>
      <c r="G147" s="11">
        <f t="shared" si="4"/>
        <v>0</v>
      </c>
    </row>
    <row r="148" spans="2:7" ht="36">
      <c r="B148" s="7">
        <v>142</v>
      </c>
      <c r="C148" s="8" t="s">
        <v>306</v>
      </c>
      <c r="D148" s="8" t="s">
        <v>301</v>
      </c>
      <c r="E148" s="20">
        <v>22</v>
      </c>
      <c r="F148" s="10">
        <v>152.8079</v>
      </c>
      <c r="G148" s="11">
        <f t="shared" si="4"/>
        <v>3361.7738</v>
      </c>
    </row>
    <row r="149" spans="2:7" ht="36">
      <c r="B149" s="7">
        <v>143</v>
      </c>
      <c r="C149" s="8" t="s">
        <v>307</v>
      </c>
      <c r="D149" s="8" t="s">
        <v>301</v>
      </c>
      <c r="E149" s="20">
        <v>10</v>
      </c>
      <c r="F149" s="10">
        <v>237.9405</v>
      </c>
      <c r="G149" s="11">
        <f t="shared" si="4"/>
        <v>2379.4049999999997</v>
      </c>
    </row>
    <row r="150" spans="2:7" ht="36">
      <c r="B150" s="7">
        <v>144</v>
      </c>
      <c r="C150" s="8" t="s">
        <v>308</v>
      </c>
      <c r="D150" s="8" t="s">
        <v>301</v>
      </c>
      <c r="E150" s="20">
        <v>10</v>
      </c>
      <c r="F150" s="10">
        <v>249.80479999999997</v>
      </c>
      <c r="G150" s="11">
        <f t="shared" si="4"/>
        <v>2498.048</v>
      </c>
    </row>
    <row r="151" spans="2:7" ht="36">
      <c r="B151" s="7">
        <v>145</v>
      </c>
      <c r="C151" s="8" t="s">
        <v>309</v>
      </c>
      <c r="D151" s="8" t="s">
        <v>301</v>
      </c>
      <c r="E151" s="20">
        <v>12</v>
      </c>
      <c r="F151" s="10">
        <v>429.1259</v>
      </c>
      <c r="G151" s="11">
        <f t="shared" si="4"/>
        <v>5149.5108</v>
      </c>
    </row>
    <row r="152" spans="2:7" ht="36">
      <c r="B152" s="7">
        <v>146</v>
      </c>
      <c r="C152" s="8" t="s">
        <v>310</v>
      </c>
      <c r="D152" s="8" t="s">
        <v>301</v>
      </c>
      <c r="E152" s="20">
        <v>3</v>
      </c>
      <c r="F152" s="10">
        <v>350.5383</v>
      </c>
      <c r="G152" s="11">
        <f t="shared" si="4"/>
        <v>1051.6149</v>
      </c>
    </row>
    <row r="153" spans="2:7" ht="36">
      <c r="B153" s="7">
        <v>147</v>
      </c>
      <c r="C153" s="8" t="s">
        <v>311</v>
      </c>
      <c r="D153" s="8" t="s">
        <v>301</v>
      </c>
      <c r="E153" s="20">
        <v>21</v>
      </c>
      <c r="F153" s="10">
        <v>50.8249</v>
      </c>
      <c r="G153" s="11">
        <f t="shared" si="4"/>
        <v>1067.3229</v>
      </c>
    </row>
    <row r="154" spans="2:7" ht="36">
      <c r="B154" s="7">
        <v>148</v>
      </c>
      <c r="C154" s="8" t="s">
        <v>312</v>
      </c>
      <c r="D154" s="8" t="s">
        <v>301</v>
      </c>
      <c r="E154" s="20">
        <v>12.5</v>
      </c>
      <c r="F154" s="10">
        <v>95.55699999999999</v>
      </c>
      <c r="G154" s="11">
        <f t="shared" si="4"/>
        <v>1194.4624999999999</v>
      </c>
    </row>
    <row r="155" spans="2:7" ht="12">
      <c r="B155" s="7">
        <v>149</v>
      </c>
      <c r="C155" s="8" t="s">
        <v>313</v>
      </c>
      <c r="D155" s="8" t="s">
        <v>224</v>
      </c>
      <c r="E155" s="20">
        <v>0.1154</v>
      </c>
      <c r="F155" s="10">
        <v>237.0718</v>
      </c>
      <c r="G155" s="11">
        <f t="shared" si="4"/>
        <v>27.358085720000002</v>
      </c>
    </row>
    <row r="156" spans="2:7" ht="12">
      <c r="B156" s="7">
        <v>150</v>
      </c>
      <c r="C156" s="8" t="s">
        <v>314</v>
      </c>
      <c r="D156" s="8" t="s">
        <v>204</v>
      </c>
      <c r="E156" s="20">
        <v>0.00775</v>
      </c>
      <c r="F156" s="10">
        <v>13739.109299999998</v>
      </c>
      <c r="G156" s="11">
        <f t="shared" si="4"/>
        <v>106.47809707499998</v>
      </c>
    </row>
    <row r="157" spans="2:7" ht="12">
      <c r="B157" s="7">
        <v>151</v>
      </c>
      <c r="C157" s="8" t="s">
        <v>315</v>
      </c>
      <c r="D157" s="8" t="s">
        <v>301</v>
      </c>
      <c r="E157" s="20">
        <v>4.08</v>
      </c>
      <c r="F157" s="10">
        <v>85.1445</v>
      </c>
      <c r="G157" s="11">
        <f t="shared" si="4"/>
        <v>347.38955999999996</v>
      </c>
    </row>
    <row r="158" spans="2:7" ht="12">
      <c r="B158" s="7">
        <v>152</v>
      </c>
      <c r="C158" s="8" t="s">
        <v>316</v>
      </c>
      <c r="D158" s="8" t="s">
        <v>204</v>
      </c>
      <c r="E158" s="20">
        <v>0.0005858</v>
      </c>
      <c r="F158" s="10">
        <v>48488.93</v>
      </c>
      <c r="G158" s="11">
        <f t="shared" si="4"/>
        <v>28.404815194</v>
      </c>
    </row>
    <row r="159" spans="2:7" ht="12">
      <c r="B159" s="7">
        <v>153</v>
      </c>
      <c r="C159" s="8" t="s">
        <v>317</v>
      </c>
      <c r="D159" s="8" t="s">
        <v>204</v>
      </c>
      <c r="E159" s="20">
        <v>2E-05</v>
      </c>
      <c r="F159" s="10">
        <v>46803.771</v>
      </c>
      <c r="G159" s="11">
        <f t="shared" si="4"/>
        <v>0.9360754200000001</v>
      </c>
    </row>
    <row r="160" spans="2:7" ht="12">
      <c r="B160" s="182" t="s">
        <v>139</v>
      </c>
      <c r="C160" s="182"/>
      <c r="D160" s="182"/>
      <c r="E160" s="182"/>
      <c r="F160" s="182"/>
      <c r="G160" s="22">
        <f>SUM(G49:G159)</f>
        <v>94340.68664628513</v>
      </c>
    </row>
    <row r="161" spans="2:7" ht="12.75" customHeight="1">
      <c r="B161" s="183" t="s">
        <v>318</v>
      </c>
      <c r="C161" s="183"/>
      <c r="D161" s="183"/>
      <c r="E161" s="183"/>
      <c r="F161" s="183"/>
      <c r="G161" s="183"/>
    </row>
    <row r="162" spans="2:7" ht="12">
      <c r="B162" s="15">
        <v>154</v>
      </c>
      <c r="C162" s="16" t="s">
        <v>319</v>
      </c>
      <c r="D162" s="16" t="s">
        <v>199</v>
      </c>
      <c r="E162" s="17">
        <v>0.16536508</v>
      </c>
      <c r="F162" s="18">
        <v>104.3987</v>
      </c>
      <c r="G162" s="19">
        <f aca="true" t="shared" si="5" ref="G162:G169">E162*F162</f>
        <v>17.263899377396</v>
      </c>
    </row>
    <row r="163" spans="2:7" ht="12">
      <c r="B163" s="7">
        <v>155</v>
      </c>
      <c r="C163" s="8" t="s">
        <v>320</v>
      </c>
      <c r="D163" s="8" t="s">
        <v>199</v>
      </c>
      <c r="E163" s="20">
        <v>0.76437683</v>
      </c>
      <c r="F163" s="10">
        <v>77.3976</v>
      </c>
      <c r="G163" s="11">
        <f t="shared" si="5"/>
        <v>59.160932137608</v>
      </c>
    </row>
    <row r="164" spans="2:7" ht="12">
      <c r="B164" s="7">
        <v>156</v>
      </c>
      <c r="C164" s="8" t="s">
        <v>321</v>
      </c>
      <c r="D164" s="8" t="s">
        <v>199</v>
      </c>
      <c r="E164" s="20">
        <v>0.00525</v>
      </c>
      <c r="F164" s="10">
        <v>250.4831</v>
      </c>
      <c r="G164" s="11">
        <f t="shared" si="5"/>
        <v>1.3150362750000002</v>
      </c>
    </row>
    <row r="165" spans="2:7" ht="12">
      <c r="B165" s="7">
        <v>157</v>
      </c>
      <c r="C165" s="8" t="s">
        <v>322</v>
      </c>
      <c r="D165" s="8" t="s">
        <v>199</v>
      </c>
      <c r="E165" s="20">
        <v>10.5258</v>
      </c>
      <c r="F165" s="10">
        <v>66.8423</v>
      </c>
      <c r="G165" s="11">
        <f t="shared" si="5"/>
        <v>703.56868134</v>
      </c>
    </row>
    <row r="166" spans="2:7" ht="12">
      <c r="B166" s="7">
        <v>158</v>
      </c>
      <c r="C166" s="8" t="s">
        <v>323</v>
      </c>
      <c r="D166" s="8" t="s">
        <v>199</v>
      </c>
      <c r="E166" s="20">
        <v>0.00525</v>
      </c>
      <c r="F166" s="10">
        <v>135.66</v>
      </c>
      <c r="G166" s="11">
        <f t="shared" si="5"/>
        <v>0.712215</v>
      </c>
    </row>
    <row r="167" spans="2:7" ht="12">
      <c r="B167" s="7">
        <v>159</v>
      </c>
      <c r="C167" s="8" t="s">
        <v>324</v>
      </c>
      <c r="D167" s="8" t="s">
        <v>199</v>
      </c>
      <c r="E167" s="20">
        <v>0.06651044</v>
      </c>
      <c r="F167" s="10">
        <v>82.943</v>
      </c>
      <c r="G167" s="11">
        <f t="shared" si="5"/>
        <v>5.51657542492</v>
      </c>
    </row>
    <row r="168" spans="2:7" ht="12">
      <c r="B168" s="7">
        <v>160</v>
      </c>
      <c r="C168" s="8" t="s">
        <v>325</v>
      </c>
      <c r="D168" s="8" t="s">
        <v>199</v>
      </c>
      <c r="E168" s="20">
        <v>0.16712499</v>
      </c>
      <c r="F168" s="10">
        <v>51.74119999999999</v>
      </c>
      <c r="G168" s="11">
        <f t="shared" si="5"/>
        <v>8.647247532587999</v>
      </c>
    </row>
    <row r="169" spans="2:7" ht="12">
      <c r="B169" s="7">
        <v>161</v>
      </c>
      <c r="C169" s="8" t="s">
        <v>326</v>
      </c>
      <c r="D169" s="8" t="s">
        <v>199</v>
      </c>
      <c r="E169" s="20">
        <v>0.2427504</v>
      </c>
      <c r="F169" s="10">
        <v>200.039</v>
      </c>
      <c r="G169" s="11">
        <f t="shared" si="5"/>
        <v>48.559547265599996</v>
      </c>
    </row>
    <row r="170" spans="2:7" ht="12">
      <c r="B170" s="182" t="s">
        <v>139</v>
      </c>
      <c r="C170" s="182"/>
      <c r="D170" s="182"/>
      <c r="E170" s="182"/>
      <c r="F170" s="182"/>
      <c r="G170" s="22">
        <f>SUM(G162:G169)</f>
        <v>844.7441343531121</v>
      </c>
    </row>
    <row r="171" spans="2:7" ht="12.75" customHeight="1">
      <c r="B171" s="183" t="s">
        <v>327</v>
      </c>
      <c r="C171" s="183"/>
      <c r="D171" s="183"/>
      <c r="E171" s="183"/>
      <c r="F171" s="183"/>
      <c r="G171" s="183"/>
    </row>
    <row r="172" spans="2:7" ht="12">
      <c r="B172" s="15">
        <v>162</v>
      </c>
      <c r="C172" s="16" t="s">
        <v>328</v>
      </c>
      <c r="D172" s="16" t="s">
        <v>329</v>
      </c>
      <c r="E172" s="17">
        <v>27.205</v>
      </c>
      <c r="F172" s="18">
        <v>949.2588</v>
      </c>
      <c r="G172" s="19">
        <f>E172*F172</f>
        <v>25824.585654</v>
      </c>
    </row>
    <row r="173" spans="2:7" ht="12">
      <c r="B173" s="7">
        <v>163</v>
      </c>
      <c r="C173" s="8" t="s">
        <v>330</v>
      </c>
      <c r="D173" s="8" t="s">
        <v>329</v>
      </c>
      <c r="E173" s="20">
        <v>50.66775</v>
      </c>
      <c r="F173" s="10">
        <v>86.99040000000001</v>
      </c>
      <c r="G173" s="11">
        <f>E173*F173</f>
        <v>4407.6078396</v>
      </c>
    </row>
    <row r="174" spans="2:7" ht="12">
      <c r="B174" s="7">
        <v>164</v>
      </c>
      <c r="C174" s="8" t="s">
        <v>331</v>
      </c>
      <c r="D174" s="8" t="s">
        <v>332</v>
      </c>
      <c r="E174" s="20">
        <v>26.275</v>
      </c>
      <c r="F174" s="10">
        <v>693.7182</v>
      </c>
      <c r="G174" s="11">
        <f>E174*F174</f>
        <v>18227.445705</v>
      </c>
    </row>
    <row r="175" spans="2:7" ht="12">
      <c r="B175" s="7">
        <v>165</v>
      </c>
      <c r="C175" s="8" t="s">
        <v>333</v>
      </c>
      <c r="D175" s="8" t="s">
        <v>332</v>
      </c>
      <c r="E175" s="20">
        <v>0.465</v>
      </c>
      <c r="F175" s="10">
        <v>390.5496</v>
      </c>
      <c r="G175" s="11">
        <f>E175*F175</f>
        <v>181.60556400000002</v>
      </c>
    </row>
    <row r="176" spans="2:7" ht="12">
      <c r="B176" s="182" t="s">
        <v>139</v>
      </c>
      <c r="C176" s="182"/>
      <c r="D176" s="182"/>
      <c r="E176" s="182"/>
      <c r="F176" s="182"/>
      <c r="G176" s="22">
        <f>SUM(G172:G175)</f>
        <v>48641.24476259999</v>
      </c>
    </row>
  </sheetData>
  <sheetProtection selectLockedCells="1" selectUnlockedCells="1"/>
  <mergeCells count="9">
    <mergeCell ref="B170:F170"/>
    <mergeCell ref="B171:G171"/>
    <mergeCell ref="B176:F176"/>
    <mergeCell ref="B1:G1"/>
    <mergeCell ref="B4:G4"/>
    <mergeCell ref="B47:F47"/>
    <mergeCell ref="B48:G48"/>
    <mergeCell ref="B160:F160"/>
    <mergeCell ref="B161:G161"/>
  </mergeCells>
  <printOptions/>
  <pageMargins left="0.35" right="0.35" top="0.35" bottom="0.35" header="0.5118055555555555" footer="0.3"/>
  <pageSetup fitToHeight="0" fitToWidth="1" horizontalDpi="300" verticalDpi="300" orientation="portrait" paperSize="9" scale="90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L32"/>
  <sheetViews>
    <sheetView tabSelected="1" view="pageBreakPreview" zoomScale="80" zoomScaleSheetLayoutView="80" workbookViewId="0" topLeftCell="A1">
      <selection activeCell="B9" sqref="B9:E9"/>
    </sheetView>
  </sheetViews>
  <sheetFormatPr defaultColWidth="9.140625" defaultRowHeight="12"/>
  <cols>
    <col min="1" max="1" width="9.421875" style="0" customWidth="1"/>
    <col min="2" max="5" width="11.140625" style="0" customWidth="1"/>
    <col min="6" max="11" width="16.140625" style="0" customWidth="1"/>
    <col min="12" max="12" width="22.00390625" style="0" customWidth="1"/>
  </cols>
  <sheetData>
    <row r="2" spans="1:12" ht="14.25">
      <c r="A2" s="1"/>
      <c r="B2" s="1"/>
      <c r="C2" s="1"/>
      <c r="D2" s="1"/>
      <c r="E2" s="1"/>
      <c r="F2" s="143"/>
      <c r="G2" s="143"/>
      <c r="H2" s="143"/>
      <c r="I2" s="143"/>
      <c r="J2" s="143"/>
      <c r="K2" s="143"/>
      <c r="L2" s="143"/>
    </row>
    <row r="3" spans="1:12" ht="15.75">
      <c r="A3" s="201" t="s">
        <v>349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1:12" ht="15.75">
      <c r="A4" s="201" t="s">
        <v>381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</row>
    <row r="5" spans="1:12" ht="15.75">
      <c r="A5" s="201" t="s">
        <v>403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</row>
    <row r="6" spans="1:12" ht="13.5" thickBot="1">
      <c r="A6" s="144"/>
      <c r="B6" s="202"/>
      <c r="C6" s="202"/>
      <c r="D6" s="202"/>
      <c r="E6" s="202"/>
      <c r="F6" s="202"/>
      <c r="G6" s="145"/>
      <c r="H6" s="145"/>
      <c r="I6" s="145"/>
      <c r="J6" s="145"/>
      <c r="K6" s="145"/>
      <c r="L6" s="146" t="s">
        <v>350</v>
      </c>
    </row>
    <row r="7" spans="1:12" ht="22.5" customHeight="1">
      <c r="A7" s="203" t="s">
        <v>351</v>
      </c>
      <c r="B7" s="205" t="s">
        <v>352</v>
      </c>
      <c r="C7" s="205"/>
      <c r="D7" s="205"/>
      <c r="E7" s="205"/>
      <c r="F7" s="207" t="s">
        <v>376</v>
      </c>
      <c r="G7" s="207" t="s">
        <v>353</v>
      </c>
      <c r="H7" s="207" t="s">
        <v>377</v>
      </c>
      <c r="I7" s="207" t="s">
        <v>378</v>
      </c>
      <c r="J7" s="207" t="s">
        <v>379</v>
      </c>
      <c r="K7" s="207" t="s">
        <v>380</v>
      </c>
      <c r="L7" s="209" t="s">
        <v>354</v>
      </c>
    </row>
    <row r="8" spans="1:12" ht="42" customHeight="1" thickBot="1">
      <c r="A8" s="204"/>
      <c r="B8" s="206"/>
      <c r="C8" s="206"/>
      <c r="D8" s="206"/>
      <c r="E8" s="206"/>
      <c r="F8" s="208"/>
      <c r="G8" s="208"/>
      <c r="H8" s="208"/>
      <c r="I8" s="208"/>
      <c r="J8" s="208"/>
      <c r="K8" s="208"/>
      <c r="L8" s="210"/>
    </row>
    <row r="9" spans="1:12" ht="51.75" customHeight="1">
      <c r="A9" s="147">
        <v>1</v>
      </c>
      <c r="B9" s="211" t="s">
        <v>382</v>
      </c>
      <c r="C9" s="211"/>
      <c r="D9" s="211"/>
      <c r="E9" s="211"/>
      <c r="F9" s="173">
        <v>2.887</v>
      </c>
      <c r="G9" s="174">
        <v>2.358</v>
      </c>
      <c r="H9" s="174">
        <v>1.406</v>
      </c>
      <c r="I9" s="174">
        <v>3.082</v>
      </c>
      <c r="J9" s="174">
        <v>2.254</v>
      </c>
      <c r="K9" s="174">
        <v>1.398</v>
      </c>
      <c r="L9" s="148" t="s">
        <v>355</v>
      </c>
    </row>
    <row r="10" spans="1:12" ht="50.25" customHeight="1">
      <c r="A10" s="149">
        <v>2</v>
      </c>
      <c r="B10" s="212" t="s">
        <v>396</v>
      </c>
      <c r="C10" s="212"/>
      <c r="D10" s="212"/>
      <c r="E10" s="212"/>
      <c r="F10" s="175">
        <f aca="true" t="shared" si="0" ref="F10:K10">F11+F12+F13+F14</f>
        <v>4.676</v>
      </c>
      <c r="G10" s="175">
        <f t="shared" si="0"/>
        <v>5.409</v>
      </c>
      <c r="H10" s="175">
        <f t="shared" si="0"/>
        <v>3.136</v>
      </c>
      <c r="I10" s="175">
        <f t="shared" si="0"/>
        <v>2.2</v>
      </c>
      <c r="J10" s="175">
        <f t="shared" si="0"/>
        <v>1.59</v>
      </c>
      <c r="K10" s="175">
        <f t="shared" si="0"/>
        <v>0.73</v>
      </c>
      <c r="L10" s="150" t="s">
        <v>356</v>
      </c>
    </row>
    <row r="11" spans="1:12" s="172" customFormat="1" ht="66" customHeight="1">
      <c r="A11" s="151" t="s">
        <v>357</v>
      </c>
      <c r="B11" s="213" t="s">
        <v>398</v>
      </c>
      <c r="C11" s="213"/>
      <c r="D11" s="213"/>
      <c r="E11" s="213"/>
      <c r="F11" s="154">
        <v>3.61</v>
      </c>
      <c r="G11" s="161">
        <v>4.09</v>
      </c>
      <c r="H11" s="161">
        <v>2.82</v>
      </c>
      <c r="I11" s="161">
        <v>2.2</v>
      </c>
      <c r="J11" s="161">
        <v>1.59</v>
      </c>
      <c r="K11" s="161">
        <v>0.73</v>
      </c>
      <c r="L11" s="150"/>
    </row>
    <row r="12" spans="1:12" ht="27.75" customHeight="1">
      <c r="A12" s="151" t="s">
        <v>384</v>
      </c>
      <c r="B12" s="200" t="s">
        <v>386</v>
      </c>
      <c r="C12" s="200"/>
      <c r="D12" s="200"/>
      <c r="E12" s="200"/>
      <c r="F12" s="152">
        <v>0.176</v>
      </c>
      <c r="G12" s="160">
        <v>0.176</v>
      </c>
      <c r="H12" s="160">
        <v>0.176</v>
      </c>
      <c r="I12" s="160"/>
      <c r="J12" s="160"/>
      <c r="K12" s="160"/>
      <c r="L12" s="150" t="s">
        <v>358</v>
      </c>
    </row>
    <row r="13" spans="1:12" ht="27.75" customHeight="1">
      <c r="A13" s="151" t="s">
        <v>385</v>
      </c>
      <c r="B13" s="200" t="s">
        <v>137</v>
      </c>
      <c r="C13" s="200"/>
      <c r="D13" s="200"/>
      <c r="E13" s="200"/>
      <c r="F13" s="152">
        <v>0.14</v>
      </c>
      <c r="G13" s="160">
        <v>0.14</v>
      </c>
      <c r="H13" s="160">
        <v>0.14</v>
      </c>
      <c r="I13" s="160"/>
      <c r="J13" s="160"/>
      <c r="K13" s="160"/>
      <c r="L13" s="150" t="s">
        <v>387</v>
      </c>
    </row>
    <row r="14" spans="1:12" ht="27.75" customHeight="1">
      <c r="A14" s="151" t="s">
        <v>395</v>
      </c>
      <c r="B14" s="217" t="s">
        <v>383</v>
      </c>
      <c r="C14" s="218"/>
      <c r="D14" s="218"/>
      <c r="E14" s="219"/>
      <c r="F14" s="152">
        <v>0.75</v>
      </c>
      <c r="G14" s="160">
        <v>1.003</v>
      </c>
      <c r="H14" s="160"/>
      <c r="I14" s="160"/>
      <c r="J14" s="160"/>
      <c r="K14" s="160"/>
      <c r="L14" s="150" t="s">
        <v>356</v>
      </c>
    </row>
    <row r="15" spans="1:12" ht="44.25" customHeight="1">
      <c r="A15" s="149">
        <v>3</v>
      </c>
      <c r="B15" s="212" t="s">
        <v>359</v>
      </c>
      <c r="C15" s="212"/>
      <c r="D15" s="212"/>
      <c r="E15" s="212"/>
      <c r="F15" s="175">
        <f aca="true" t="shared" si="1" ref="F15:K15">F16+F17</f>
        <v>3.5120000000000005</v>
      </c>
      <c r="G15" s="175">
        <f t="shared" si="1"/>
        <v>3.298</v>
      </c>
      <c r="H15" s="175">
        <f t="shared" si="1"/>
        <v>5.096</v>
      </c>
      <c r="I15" s="175">
        <f t="shared" si="1"/>
        <v>1.7</v>
      </c>
      <c r="J15" s="175">
        <f t="shared" si="1"/>
        <v>1.31</v>
      </c>
      <c r="K15" s="175">
        <f t="shared" si="1"/>
        <v>0</v>
      </c>
      <c r="L15" s="150"/>
    </row>
    <row r="16" spans="1:12" ht="80.25" customHeight="1">
      <c r="A16" s="151"/>
      <c r="B16" s="213" t="s">
        <v>392</v>
      </c>
      <c r="C16" s="213"/>
      <c r="D16" s="213"/>
      <c r="E16" s="213"/>
      <c r="F16" s="152">
        <v>1.239</v>
      </c>
      <c r="G16" s="160">
        <v>1.14</v>
      </c>
      <c r="H16" s="160">
        <v>1.306</v>
      </c>
      <c r="I16" s="160"/>
      <c r="J16" s="160"/>
      <c r="K16" s="160"/>
      <c r="L16" s="150" t="s">
        <v>388</v>
      </c>
    </row>
    <row r="17" spans="1:12" ht="85.5" customHeight="1">
      <c r="A17" s="151"/>
      <c r="B17" s="213" t="s">
        <v>393</v>
      </c>
      <c r="C17" s="213"/>
      <c r="D17" s="213"/>
      <c r="E17" s="213"/>
      <c r="F17" s="152">
        <v>2.273</v>
      </c>
      <c r="G17" s="160">
        <v>2.158</v>
      </c>
      <c r="H17" s="160">
        <v>3.79</v>
      </c>
      <c r="I17" s="160">
        <v>1.7</v>
      </c>
      <c r="J17" s="160">
        <v>1.31</v>
      </c>
      <c r="K17" s="160"/>
      <c r="L17" s="150" t="s">
        <v>389</v>
      </c>
    </row>
    <row r="18" spans="1:12" ht="33" customHeight="1">
      <c r="A18" s="153" t="s">
        <v>360</v>
      </c>
      <c r="B18" s="212" t="s">
        <v>394</v>
      </c>
      <c r="C18" s="212"/>
      <c r="D18" s="212"/>
      <c r="E18" s="212"/>
      <c r="F18" s="175">
        <f>F19+F20+F21+F22+F23</f>
        <v>3.6600000000000006</v>
      </c>
      <c r="G18" s="175">
        <f>G19+G21+G22+G23</f>
        <v>1.4600000000000002</v>
      </c>
      <c r="H18" s="175">
        <f>H19+H21+H22+H23</f>
        <v>1.4600000000000002</v>
      </c>
      <c r="I18" s="175">
        <f>I19+I21+I22+I23</f>
        <v>1.36</v>
      </c>
      <c r="J18" s="175">
        <f>J19+J21+J22+J23</f>
        <v>1.36</v>
      </c>
      <c r="K18" s="175">
        <f>K19+K21+K22+K23</f>
        <v>1.36</v>
      </c>
      <c r="L18" s="150"/>
    </row>
    <row r="19" spans="1:12" ht="33.75" customHeight="1">
      <c r="A19" s="151" t="s">
        <v>361</v>
      </c>
      <c r="B19" s="200" t="s">
        <v>399</v>
      </c>
      <c r="C19" s="200"/>
      <c r="D19" s="200"/>
      <c r="E19" s="200"/>
      <c r="F19" s="154">
        <v>1.7</v>
      </c>
      <c r="G19" s="162">
        <v>0</v>
      </c>
      <c r="H19" s="162"/>
      <c r="I19" s="162"/>
      <c r="J19" s="162"/>
      <c r="K19" s="162"/>
      <c r="L19" s="150" t="s">
        <v>387</v>
      </c>
    </row>
    <row r="20" spans="1:12" ht="33.75" customHeight="1">
      <c r="A20" s="151"/>
      <c r="B20" s="200" t="s">
        <v>402</v>
      </c>
      <c r="C20" s="200"/>
      <c r="D20" s="200"/>
      <c r="E20" s="200"/>
      <c r="F20" s="154">
        <v>0.5</v>
      </c>
      <c r="G20" s="162"/>
      <c r="H20" s="162"/>
      <c r="I20" s="162"/>
      <c r="J20" s="162"/>
      <c r="K20" s="162"/>
      <c r="L20" s="150"/>
    </row>
    <row r="21" spans="1:12" ht="45.75" customHeight="1">
      <c r="A21" s="151" t="s">
        <v>362</v>
      </c>
      <c r="B21" s="220" t="s">
        <v>135</v>
      </c>
      <c r="C21" s="221"/>
      <c r="D21" s="221"/>
      <c r="E21" s="222"/>
      <c r="F21" s="154">
        <v>1.36</v>
      </c>
      <c r="G21" s="161">
        <v>1.36</v>
      </c>
      <c r="H21" s="161">
        <v>1.36</v>
      </c>
      <c r="I21" s="161">
        <v>1.36</v>
      </c>
      <c r="J21" s="161">
        <v>1.36</v>
      </c>
      <c r="K21" s="161">
        <v>1.36</v>
      </c>
      <c r="L21" s="150" t="s">
        <v>390</v>
      </c>
    </row>
    <row r="22" spans="1:12" ht="44.25" customHeight="1">
      <c r="A22" s="151" t="s">
        <v>363</v>
      </c>
      <c r="B22" s="217" t="s">
        <v>400</v>
      </c>
      <c r="C22" s="218"/>
      <c r="D22" s="218"/>
      <c r="E22" s="219"/>
      <c r="F22" s="154">
        <v>0.1</v>
      </c>
      <c r="G22" s="161">
        <v>0.1</v>
      </c>
      <c r="H22" s="161">
        <v>0.1</v>
      </c>
      <c r="I22" s="161"/>
      <c r="J22" s="161"/>
      <c r="K22" s="161"/>
      <c r="L22" s="150" t="s">
        <v>391</v>
      </c>
    </row>
    <row r="23" spans="1:12" ht="35.25" customHeight="1">
      <c r="A23" s="151" t="s">
        <v>364</v>
      </c>
      <c r="B23" s="200" t="s">
        <v>365</v>
      </c>
      <c r="C23" s="200"/>
      <c r="D23" s="200"/>
      <c r="E23" s="200"/>
      <c r="F23" s="154"/>
      <c r="G23" s="161"/>
      <c r="H23" s="161"/>
      <c r="I23" s="161"/>
      <c r="J23" s="161"/>
      <c r="K23" s="161"/>
      <c r="L23" s="150"/>
    </row>
    <row r="24" spans="1:12" ht="25.5" customHeight="1">
      <c r="A24" s="153" t="s">
        <v>366</v>
      </c>
      <c r="B24" s="212" t="s">
        <v>367</v>
      </c>
      <c r="C24" s="212"/>
      <c r="D24" s="212"/>
      <c r="E24" s="212"/>
      <c r="F24" s="175">
        <v>1.251</v>
      </c>
      <c r="G24" s="176">
        <v>1.25</v>
      </c>
      <c r="H24" s="176">
        <v>0.63</v>
      </c>
      <c r="I24" s="176">
        <v>0.625</v>
      </c>
      <c r="J24" s="176">
        <v>0.42</v>
      </c>
      <c r="K24" s="176">
        <v>0.42</v>
      </c>
      <c r="L24" s="150" t="s">
        <v>368</v>
      </c>
    </row>
    <row r="25" spans="1:12" ht="20.25" customHeight="1">
      <c r="A25" s="156">
        <v>6</v>
      </c>
      <c r="B25" s="215" t="s">
        <v>369</v>
      </c>
      <c r="C25" s="215"/>
      <c r="D25" s="215"/>
      <c r="E25" s="215"/>
      <c r="F25" s="175">
        <v>0.9</v>
      </c>
      <c r="G25" s="176">
        <v>0.9</v>
      </c>
      <c r="H25" s="176">
        <v>0.89</v>
      </c>
      <c r="I25" s="176">
        <v>0.65</v>
      </c>
      <c r="J25" s="176">
        <v>0.5</v>
      </c>
      <c r="K25" s="176">
        <v>0.3</v>
      </c>
      <c r="L25" s="150"/>
    </row>
    <row r="26" spans="1:12" ht="54.75" customHeight="1">
      <c r="A26" s="151"/>
      <c r="B26" s="216" t="s">
        <v>370</v>
      </c>
      <c r="C26" s="216"/>
      <c r="D26" s="216"/>
      <c r="E26" s="216"/>
      <c r="F26" s="154"/>
      <c r="G26" s="161"/>
      <c r="H26" s="161"/>
      <c r="I26" s="161"/>
      <c r="J26" s="161"/>
      <c r="K26" s="161"/>
      <c r="L26" s="150" t="s">
        <v>371</v>
      </c>
    </row>
    <row r="27" spans="1:12" ht="20.25" customHeight="1">
      <c r="A27" s="153" t="s">
        <v>397</v>
      </c>
      <c r="B27" s="212" t="s">
        <v>372</v>
      </c>
      <c r="C27" s="212"/>
      <c r="D27" s="212"/>
      <c r="E27" s="212"/>
      <c r="F27" s="175">
        <f aca="true" t="shared" si="2" ref="F27:K27">F9+F10+F15+F18+F24+F25</f>
        <v>16.886</v>
      </c>
      <c r="G27" s="175">
        <f t="shared" si="2"/>
        <v>14.675</v>
      </c>
      <c r="H27" s="175">
        <f t="shared" si="2"/>
        <v>12.618000000000002</v>
      </c>
      <c r="I27" s="175">
        <f t="shared" si="2"/>
        <v>9.617</v>
      </c>
      <c r="J27" s="175">
        <f t="shared" si="2"/>
        <v>7.434</v>
      </c>
      <c r="K27" s="175">
        <f t="shared" si="2"/>
        <v>4.208</v>
      </c>
      <c r="L27" s="150"/>
    </row>
    <row r="28" spans="1:12" ht="12">
      <c r="A28" s="157"/>
      <c r="B28" s="216"/>
      <c r="C28" s="216"/>
      <c r="D28" s="216"/>
      <c r="E28" s="216"/>
      <c r="F28" s="152"/>
      <c r="G28" s="160"/>
      <c r="H28" s="160"/>
      <c r="I28" s="160"/>
      <c r="J28" s="160"/>
      <c r="K28" s="160"/>
      <c r="L28" s="150"/>
    </row>
    <row r="29" spans="1:12" ht="12">
      <c r="A29" s="157"/>
      <c r="B29" s="216"/>
      <c r="C29" s="216"/>
      <c r="D29" s="216"/>
      <c r="E29" s="216"/>
      <c r="F29" s="155"/>
      <c r="G29" s="162"/>
      <c r="H29" s="162"/>
      <c r="I29" s="162"/>
      <c r="J29" s="162"/>
      <c r="K29" s="162"/>
      <c r="L29" s="150"/>
    </row>
    <row r="30" spans="1:12" ht="21" customHeight="1">
      <c r="A30" s="153"/>
      <c r="B30" s="212" t="s">
        <v>373</v>
      </c>
      <c r="C30" s="212"/>
      <c r="D30" s="212"/>
      <c r="E30" s="212"/>
      <c r="F30" s="175">
        <f aca="true" t="shared" si="3" ref="F30:K30">F27+F28+F29</f>
        <v>16.886</v>
      </c>
      <c r="G30" s="175">
        <f t="shared" si="3"/>
        <v>14.675</v>
      </c>
      <c r="H30" s="175">
        <f t="shared" si="3"/>
        <v>12.618000000000002</v>
      </c>
      <c r="I30" s="175">
        <f t="shared" si="3"/>
        <v>9.617</v>
      </c>
      <c r="J30" s="175">
        <f t="shared" si="3"/>
        <v>7.434</v>
      </c>
      <c r="K30" s="175">
        <f t="shared" si="3"/>
        <v>4.208</v>
      </c>
      <c r="L30" s="150"/>
    </row>
    <row r="31" spans="1:12" ht="21" customHeight="1">
      <c r="A31" s="157"/>
      <c r="B31" s="216" t="s">
        <v>374</v>
      </c>
      <c r="C31" s="216"/>
      <c r="D31" s="216"/>
      <c r="E31" s="216"/>
      <c r="F31" s="154"/>
      <c r="G31" s="161"/>
      <c r="H31" s="161"/>
      <c r="I31" s="161"/>
      <c r="J31" s="161"/>
      <c r="K31" s="161"/>
      <c r="L31" s="150"/>
    </row>
    <row r="32" spans="1:12" ht="30" customHeight="1" thickBot="1">
      <c r="A32" s="158"/>
      <c r="B32" s="214" t="s">
        <v>375</v>
      </c>
      <c r="C32" s="214"/>
      <c r="D32" s="214"/>
      <c r="E32" s="214"/>
      <c r="F32" s="177">
        <f aca="true" t="shared" si="4" ref="F32:K32">F30+F31</f>
        <v>16.886</v>
      </c>
      <c r="G32" s="177">
        <f t="shared" si="4"/>
        <v>14.675</v>
      </c>
      <c r="H32" s="177">
        <f t="shared" si="4"/>
        <v>12.618000000000002</v>
      </c>
      <c r="I32" s="177">
        <f t="shared" si="4"/>
        <v>9.617</v>
      </c>
      <c r="J32" s="177">
        <f t="shared" si="4"/>
        <v>7.434</v>
      </c>
      <c r="K32" s="177">
        <f t="shared" si="4"/>
        <v>4.208</v>
      </c>
      <c r="L32" s="159"/>
    </row>
  </sheetData>
  <sheetProtection/>
  <mergeCells count="37">
    <mergeCell ref="K7:K8"/>
    <mergeCell ref="B13:E13"/>
    <mergeCell ref="B14:E14"/>
    <mergeCell ref="B30:E30"/>
    <mergeCell ref="B18:E18"/>
    <mergeCell ref="B19:E19"/>
    <mergeCell ref="B21:E21"/>
    <mergeCell ref="B22:E22"/>
    <mergeCell ref="B23:E23"/>
    <mergeCell ref="G7:G8"/>
    <mergeCell ref="H7:H8"/>
    <mergeCell ref="I7:I8"/>
    <mergeCell ref="B24:E24"/>
    <mergeCell ref="B16:E16"/>
    <mergeCell ref="B17:E17"/>
    <mergeCell ref="B11:E11"/>
    <mergeCell ref="B32:E32"/>
    <mergeCell ref="B25:E25"/>
    <mergeCell ref="B26:E26"/>
    <mergeCell ref="B27:E27"/>
    <mergeCell ref="B28:E28"/>
    <mergeCell ref="B29:E29"/>
    <mergeCell ref="B31:E31"/>
    <mergeCell ref="B9:E9"/>
    <mergeCell ref="B10:E10"/>
    <mergeCell ref="B12:E12"/>
    <mergeCell ref="B15:E15"/>
    <mergeCell ref="B20:E20"/>
    <mergeCell ref="A3:L3"/>
    <mergeCell ref="A4:L4"/>
    <mergeCell ref="A5:L5"/>
    <mergeCell ref="B6:F6"/>
    <mergeCell ref="A7:A8"/>
    <mergeCell ref="B7:E8"/>
    <mergeCell ref="F7:F8"/>
    <mergeCell ref="L7:L8"/>
    <mergeCell ref="J7:J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80" r:id="rId1"/>
  <rowBreaks count="1" manualBreakCount="1">
    <brk id="1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6"/>
  <sheetViews>
    <sheetView zoomScale="89" zoomScaleNormal="89" zoomScalePageLayoutView="0" workbookViewId="0" topLeftCell="B1">
      <selection activeCell="C37" sqref="C37"/>
    </sheetView>
  </sheetViews>
  <sheetFormatPr defaultColWidth="9.140625" defaultRowHeight="12"/>
  <cols>
    <col min="1" max="1" width="0" style="1" hidden="1" customWidth="1"/>
    <col min="2" max="2" width="7.00390625" style="1" customWidth="1"/>
    <col min="3" max="3" width="60.00390625" style="1" customWidth="1"/>
    <col min="4" max="4" width="13.00390625" style="1" customWidth="1"/>
    <col min="5" max="5" width="11.00390625" style="1" customWidth="1"/>
    <col min="6" max="6" width="13.00390625" style="1" customWidth="1"/>
    <col min="7" max="7" width="15.00390625" style="1" customWidth="1"/>
  </cols>
  <sheetData>
    <row r="1" spans="2:7" ht="27.75" customHeight="1">
      <c r="B1" s="193" t="s">
        <v>148</v>
      </c>
      <c r="C1" s="193"/>
      <c r="D1" s="193"/>
      <c r="E1" s="193"/>
      <c r="F1" s="193"/>
      <c r="G1" s="193"/>
    </row>
    <row r="3" spans="1:7" ht="27">
      <c r="A3" s="2"/>
      <c r="B3" s="4" t="s">
        <v>1</v>
      </c>
      <c r="C3" s="4" t="s">
        <v>149</v>
      </c>
      <c r="D3" s="5" t="s">
        <v>150</v>
      </c>
      <c r="E3" s="5" t="s">
        <v>4</v>
      </c>
      <c r="F3" s="5" t="s">
        <v>151</v>
      </c>
      <c r="G3" s="6" t="s">
        <v>12</v>
      </c>
    </row>
    <row r="4" spans="2:7" ht="12.75" customHeight="1">
      <c r="B4" s="183" t="s">
        <v>152</v>
      </c>
      <c r="C4" s="183"/>
      <c r="D4" s="183"/>
      <c r="E4" s="183"/>
      <c r="F4" s="183"/>
      <c r="G4" s="183"/>
    </row>
    <row r="5" spans="2:7" ht="12">
      <c r="B5" s="15">
        <v>1</v>
      </c>
      <c r="C5" s="16" t="s">
        <v>153</v>
      </c>
      <c r="D5" s="16" t="s">
        <v>154</v>
      </c>
      <c r="E5" s="17">
        <v>0.776</v>
      </c>
      <c r="F5" s="18">
        <v>93.47</v>
      </c>
      <c r="G5" s="19">
        <f aca="true" t="shared" si="0" ref="G5:G46">E5*F5</f>
        <v>72.53272</v>
      </c>
    </row>
    <row r="6" spans="2:7" ht="12">
      <c r="B6" s="7">
        <v>2</v>
      </c>
      <c r="C6" s="8" t="s">
        <v>155</v>
      </c>
      <c r="D6" s="8" t="s">
        <v>154</v>
      </c>
      <c r="E6" s="20">
        <v>1.552</v>
      </c>
      <c r="F6" s="10">
        <v>100.94760000000002</v>
      </c>
      <c r="G6" s="11">
        <f t="shared" si="0"/>
        <v>156.67067520000003</v>
      </c>
    </row>
    <row r="7" spans="2:7" ht="12">
      <c r="B7" s="7">
        <v>3</v>
      </c>
      <c r="C7" s="8" t="s">
        <v>156</v>
      </c>
      <c r="D7" s="8" t="s">
        <v>154</v>
      </c>
      <c r="E7" s="20">
        <v>2.328</v>
      </c>
      <c r="F7" s="10">
        <v>112.164</v>
      </c>
      <c r="G7" s="11">
        <f t="shared" si="0"/>
        <v>261.117792</v>
      </c>
    </row>
    <row r="8" spans="2:7" ht="12">
      <c r="B8" s="7">
        <v>4</v>
      </c>
      <c r="C8" s="8" t="s">
        <v>157</v>
      </c>
      <c r="D8" s="8" t="s">
        <v>154</v>
      </c>
      <c r="E8" s="20">
        <v>0.776</v>
      </c>
      <c r="F8" s="10">
        <v>126.18450000000001</v>
      </c>
      <c r="G8" s="11">
        <f t="shared" si="0"/>
        <v>97.91917200000002</v>
      </c>
    </row>
    <row r="9" spans="2:7" ht="12">
      <c r="B9" s="7">
        <v>5</v>
      </c>
      <c r="C9" s="8" t="s">
        <v>158</v>
      </c>
      <c r="D9" s="8" t="s">
        <v>154</v>
      </c>
      <c r="E9" s="20">
        <v>749.8432</v>
      </c>
      <c r="F9" s="21">
        <v>59.53</v>
      </c>
      <c r="G9" s="11">
        <f t="shared" si="0"/>
        <v>44638.165696000004</v>
      </c>
    </row>
    <row r="10" spans="2:7" ht="12">
      <c r="B10" s="7">
        <v>6</v>
      </c>
      <c r="C10" s="8" t="s">
        <v>159</v>
      </c>
      <c r="D10" s="8" t="s">
        <v>154</v>
      </c>
      <c r="E10" s="20">
        <v>35.1</v>
      </c>
      <c r="F10" s="10">
        <v>112.164</v>
      </c>
      <c r="G10" s="11">
        <f t="shared" si="0"/>
        <v>3936.9564</v>
      </c>
    </row>
    <row r="11" spans="2:7" ht="12">
      <c r="B11" s="7">
        <v>7</v>
      </c>
      <c r="C11" s="8" t="s">
        <v>160</v>
      </c>
      <c r="D11" s="8" t="s">
        <v>154</v>
      </c>
      <c r="E11" s="20">
        <v>10.32</v>
      </c>
      <c r="F11" s="10">
        <v>100.94760000000002</v>
      </c>
      <c r="G11" s="11">
        <f t="shared" si="0"/>
        <v>1041.7792320000003</v>
      </c>
    </row>
    <row r="12" spans="2:7" ht="12">
      <c r="B12" s="7">
        <v>8</v>
      </c>
      <c r="C12" s="8" t="s">
        <v>161</v>
      </c>
      <c r="D12" s="8" t="s">
        <v>154</v>
      </c>
      <c r="E12" s="20">
        <v>10.32</v>
      </c>
      <c r="F12" s="10">
        <v>112.164</v>
      </c>
      <c r="G12" s="11">
        <f t="shared" si="0"/>
        <v>1157.53248</v>
      </c>
    </row>
    <row r="13" spans="2:7" ht="12">
      <c r="B13" s="7">
        <v>9</v>
      </c>
      <c r="C13" s="8" t="s">
        <v>162</v>
      </c>
      <c r="D13" s="8" t="s">
        <v>154</v>
      </c>
      <c r="E13" s="20">
        <v>30.093</v>
      </c>
      <c r="F13" s="21">
        <v>123</v>
      </c>
      <c r="G13" s="11">
        <f t="shared" si="0"/>
        <v>3701.439</v>
      </c>
    </row>
    <row r="14" spans="2:7" ht="12">
      <c r="B14" s="7">
        <v>10</v>
      </c>
      <c r="C14" s="8" t="s">
        <v>163</v>
      </c>
      <c r="D14" s="8" t="s">
        <v>154</v>
      </c>
      <c r="E14" s="20">
        <v>7.9325</v>
      </c>
      <c r="F14" s="10">
        <v>126.18450000000001</v>
      </c>
      <c r="G14" s="11">
        <f t="shared" si="0"/>
        <v>1000.9585462500002</v>
      </c>
    </row>
    <row r="15" spans="2:7" ht="12">
      <c r="B15" s="7">
        <v>11</v>
      </c>
      <c r="C15" s="8" t="s">
        <v>164</v>
      </c>
      <c r="D15" s="8" t="s">
        <v>154</v>
      </c>
      <c r="E15" s="20">
        <v>71.325</v>
      </c>
      <c r="F15" s="10">
        <v>143.9438</v>
      </c>
      <c r="G15" s="11">
        <f t="shared" si="0"/>
        <v>10266.791535</v>
      </c>
    </row>
    <row r="16" spans="2:7" ht="12">
      <c r="B16" s="7">
        <v>12</v>
      </c>
      <c r="C16" s="8" t="s">
        <v>165</v>
      </c>
      <c r="D16" s="8" t="s">
        <v>154</v>
      </c>
      <c r="E16" s="20">
        <v>0.6</v>
      </c>
      <c r="F16" s="10">
        <v>112.164</v>
      </c>
      <c r="G16" s="11">
        <f t="shared" si="0"/>
        <v>67.2984</v>
      </c>
    </row>
    <row r="17" spans="2:7" ht="24">
      <c r="B17" s="7">
        <v>13</v>
      </c>
      <c r="C17" s="8" t="s">
        <v>166</v>
      </c>
      <c r="D17" s="8" t="s">
        <v>154</v>
      </c>
      <c r="E17" s="20">
        <v>23.4</v>
      </c>
      <c r="F17" s="10">
        <v>100.94760000000002</v>
      </c>
      <c r="G17" s="11">
        <f t="shared" si="0"/>
        <v>2362.1738400000004</v>
      </c>
    </row>
    <row r="18" spans="2:7" ht="24">
      <c r="B18" s="7">
        <v>14</v>
      </c>
      <c r="C18" s="8" t="s">
        <v>167</v>
      </c>
      <c r="D18" s="8" t="s">
        <v>154</v>
      </c>
      <c r="E18" s="20">
        <v>23.4</v>
      </c>
      <c r="F18" s="10">
        <v>112.164</v>
      </c>
      <c r="G18" s="11">
        <f t="shared" si="0"/>
        <v>2624.6376</v>
      </c>
    </row>
    <row r="19" spans="2:7" ht="24">
      <c r="B19" s="7">
        <v>15</v>
      </c>
      <c r="C19" s="8" t="s">
        <v>168</v>
      </c>
      <c r="D19" s="8" t="s">
        <v>154</v>
      </c>
      <c r="E19" s="20">
        <v>3.92</v>
      </c>
      <c r="F19" s="21">
        <v>133.87</v>
      </c>
      <c r="G19" s="11">
        <f t="shared" si="0"/>
        <v>524.7704</v>
      </c>
    </row>
    <row r="20" spans="2:7" ht="12">
      <c r="B20" s="7">
        <v>16</v>
      </c>
      <c r="C20" s="8" t="s">
        <v>169</v>
      </c>
      <c r="D20" s="8" t="s">
        <v>154</v>
      </c>
      <c r="E20" s="20">
        <v>10.075</v>
      </c>
      <c r="F20" s="10">
        <v>100.94760000000002</v>
      </c>
      <c r="G20" s="11">
        <f t="shared" si="0"/>
        <v>1017.0470700000002</v>
      </c>
    </row>
    <row r="21" spans="2:7" ht="12">
      <c r="B21" s="7">
        <v>17</v>
      </c>
      <c r="C21" s="8" t="s">
        <v>170</v>
      </c>
      <c r="D21" s="8" t="s">
        <v>154</v>
      </c>
      <c r="E21" s="20">
        <v>10.075</v>
      </c>
      <c r="F21" s="10">
        <v>112.164</v>
      </c>
      <c r="G21" s="11">
        <f t="shared" si="0"/>
        <v>1130.0522999999998</v>
      </c>
    </row>
    <row r="22" spans="2:7" ht="12">
      <c r="B22" s="7">
        <v>18</v>
      </c>
      <c r="C22" s="8" t="s">
        <v>171</v>
      </c>
      <c r="D22" s="8" t="s">
        <v>154</v>
      </c>
      <c r="E22" s="20">
        <v>4.06</v>
      </c>
      <c r="F22" s="10">
        <v>126.18450000000001</v>
      </c>
      <c r="G22" s="11">
        <f t="shared" si="0"/>
        <v>512.30907</v>
      </c>
    </row>
    <row r="23" spans="2:7" ht="12">
      <c r="B23" s="7">
        <v>19</v>
      </c>
      <c r="C23" s="8" t="s">
        <v>172</v>
      </c>
      <c r="D23" s="8" t="s">
        <v>154</v>
      </c>
      <c r="E23" s="20">
        <v>6</v>
      </c>
      <c r="F23" s="10">
        <v>143.9438</v>
      </c>
      <c r="G23" s="11">
        <f t="shared" si="0"/>
        <v>863.6628000000001</v>
      </c>
    </row>
    <row r="24" spans="2:7" ht="24">
      <c r="B24" s="7">
        <v>20</v>
      </c>
      <c r="C24" s="8" t="s">
        <v>173</v>
      </c>
      <c r="D24" s="8" t="s">
        <v>154</v>
      </c>
      <c r="E24" s="20">
        <v>6</v>
      </c>
      <c r="F24" s="10">
        <v>126.18450000000001</v>
      </c>
      <c r="G24" s="11">
        <f t="shared" si="0"/>
        <v>757.1070000000001</v>
      </c>
    </row>
    <row r="25" spans="2:7" ht="24">
      <c r="B25" s="7">
        <v>21</v>
      </c>
      <c r="C25" s="8" t="s">
        <v>174</v>
      </c>
      <c r="D25" s="8" t="s">
        <v>154</v>
      </c>
      <c r="E25" s="20">
        <v>1.05</v>
      </c>
      <c r="F25" s="10">
        <v>143.9438</v>
      </c>
      <c r="G25" s="11">
        <f t="shared" si="0"/>
        <v>151.14099000000002</v>
      </c>
    </row>
    <row r="26" spans="2:7" ht="12">
      <c r="B26" s="7">
        <v>22</v>
      </c>
      <c r="C26" s="8" t="s">
        <v>175</v>
      </c>
      <c r="D26" s="8" t="s">
        <v>154</v>
      </c>
      <c r="E26" s="20">
        <v>0.776</v>
      </c>
      <c r="F26" s="10">
        <v>93.47</v>
      </c>
      <c r="G26" s="11">
        <f t="shared" si="0"/>
        <v>72.53272</v>
      </c>
    </row>
    <row r="27" spans="2:7" ht="12">
      <c r="B27" s="7">
        <v>23</v>
      </c>
      <c r="C27" s="8" t="s">
        <v>176</v>
      </c>
      <c r="D27" s="8" t="s">
        <v>154</v>
      </c>
      <c r="E27" s="20">
        <v>66.20586</v>
      </c>
      <c r="F27" s="10">
        <v>112.164</v>
      </c>
      <c r="G27" s="11">
        <f t="shared" si="0"/>
        <v>7425.91408104</v>
      </c>
    </row>
    <row r="28" spans="2:7" ht="12">
      <c r="B28" s="7">
        <v>24</v>
      </c>
      <c r="C28" s="8" t="s">
        <v>177</v>
      </c>
      <c r="D28" s="8" t="s">
        <v>154</v>
      </c>
      <c r="E28" s="20">
        <v>0.305</v>
      </c>
      <c r="F28" s="10">
        <v>126.18450000000001</v>
      </c>
      <c r="G28" s="11">
        <f t="shared" si="0"/>
        <v>38.486272500000005</v>
      </c>
    </row>
    <row r="29" spans="2:7" ht="12">
      <c r="B29" s="7">
        <v>25</v>
      </c>
      <c r="C29" s="8" t="s">
        <v>178</v>
      </c>
      <c r="D29" s="8" t="s">
        <v>154</v>
      </c>
      <c r="E29" s="20">
        <v>0.305</v>
      </c>
      <c r="F29" s="10">
        <v>143.9438</v>
      </c>
      <c r="G29" s="11">
        <f t="shared" si="0"/>
        <v>43.902859</v>
      </c>
    </row>
    <row r="30" spans="2:7" ht="24">
      <c r="B30" s="7">
        <v>26</v>
      </c>
      <c r="C30" s="8" t="s">
        <v>179</v>
      </c>
      <c r="D30" s="8" t="s">
        <v>154</v>
      </c>
      <c r="E30" s="20">
        <v>177.68453305</v>
      </c>
      <c r="F30" s="10">
        <v>100.94760000000002</v>
      </c>
      <c r="G30" s="11">
        <f t="shared" si="0"/>
        <v>17936.827168518183</v>
      </c>
    </row>
    <row r="31" spans="2:7" ht="24">
      <c r="B31" s="7">
        <v>27</v>
      </c>
      <c r="C31" s="8" t="s">
        <v>180</v>
      </c>
      <c r="D31" s="8" t="s">
        <v>154</v>
      </c>
      <c r="E31" s="20">
        <v>0.6445</v>
      </c>
      <c r="F31" s="10">
        <v>112.164</v>
      </c>
      <c r="G31" s="11">
        <f t="shared" si="0"/>
        <v>72.289698</v>
      </c>
    </row>
    <row r="32" spans="2:7" ht="24">
      <c r="B32" s="7">
        <v>28</v>
      </c>
      <c r="C32" s="8" t="s">
        <v>181</v>
      </c>
      <c r="D32" s="8" t="s">
        <v>154</v>
      </c>
      <c r="E32" s="20">
        <v>56.23092</v>
      </c>
      <c r="F32" s="21">
        <v>0.01</v>
      </c>
      <c r="G32" s="11">
        <f t="shared" si="0"/>
        <v>0.5623092</v>
      </c>
    </row>
    <row r="33" spans="2:7" ht="12">
      <c r="B33" s="7">
        <v>29</v>
      </c>
      <c r="C33" s="8" t="s">
        <v>182</v>
      </c>
      <c r="D33" s="8" t="s">
        <v>154</v>
      </c>
      <c r="E33" s="20">
        <v>40.1116</v>
      </c>
      <c r="F33" s="10">
        <v>112.164</v>
      </c>
      <c r="G33" s="11">
        <f t="shared" si="0"/>
        <v>4499.0775024</v>
      </c>
    </row>
    <row r="34" spans="2:7" ht="12">
      <c r="B34" s="7">
        <v>30</v>
      </c>
      <c r="C34" s="8" t="s">
        <v>183</v>
      </c>
      <c r="D34" s="8" t="s">
        <v>154</v>
      </c>
      <c r="E34" s="20">
        <v>68.792</v>
      </c>
      <c r="F34" s="10">
        <v>100.94760000000002</v>
      </c>
      <c r="G34" s="11">
        <f t="shared" si="0"/>
        <v>6944.3872992000015</v>
      </c>
    </row>
    <row r="35" spans="2:7" ht="12">
      <c r="B35" s="7">
        <v>31</v>
      </c>
      <c r="C35" s="8" t="s">
        <v>184</v>
      </c>
      <c r="D35" s="8" t="s">
        <v>154</v>
      </c>
      <c r="E35" s="20">
        <v>100.00666659</v>
      </c>
      <c r="F35" s="10">
        <v>112.164</v>
      </c>
      <c r="G35" s="11">
        <f t="shared" si="0"/>
        <v>11217.14775140076</v>
      </c>
    </row>
    <row r="36" spans="2:7" ht="12">
      <c r="B36" s="7">
        <v>32</v>
      </c>
      <c r="C36" s="8" t="s">
        <v>185</v>
      </c>
      <c r="D36" s="8" t="s">
        <v>154</v>
      </c>
      <c r="E36" s="20">
        <v>250.22004</v>
      </c>
      <c r="F36" s="10">
        <v>126.18450000000001</v>
      </c>
      <c r="G36" s="11">
        <f t="shared" si="0"/>
        <v>31573.890637380006</v>
      </c>
    </row>
    <row r="37" spans="2:7" ht="12">
      <c r="B37" s="7">
        <v>33</v>
      </c>
      <c r="C37" s="8" t="s">
        <v>186</v>
      </c>
      <c r="D37" s="8" t="s">
        <v>154</v>
      </c>
      <c r="E37" s="20">
        <v>32.31166658</v>
      </c>
      <c r="F37" s="10">
        <v>143.9438</v>
      </c>
      <c r="G37" s="11">
        <f t="shared" si="0"/>
        <v>4651.064071858204</v>
      </c>
    </row>
    <row r="38" spans="2:7" ht="12">
      <c r="B38" s="7">
        <v>34</v>
      </c>
      <c r="C38" s="8" t="s">
        <v>187</v>
      </c>
      <c r="D38" s="8" t="s">
        <v>154</v>
      </c>
      <c r="E38" s="20">
        <v>26.29666659</v>
      </c>
      <c r="F38" s="10">
        <v>168.246</v>
      </c>
      <c r="G38" s="11">
        <f t="shared" si="0"/>
        <v>4424.30896710114</v>
      </c>
    </row>
    <row r="39" spans="2:7" ht="12">
      <c r="B39" s="7">
        <v>35</v>
      </c>
      <c r="C39" s="8" t="s">
        <v>188</v>
      </c>
      <c r="D39" s="8" t="s">
        <v>154</v>
      </c>
      <c r="E39" s="20">
        <v>0.46</v>
      </c>
      <c r="F39" s="10">
        <v>100.94760000000002</v>
      </c>
      <c r="G39" s="11">
        <f t="shared" si="0"/>
        <v>46.435896000000014</v>
      </c>
    </row>
    <row r="40" spans="2:7" ht="12">
      <c r="B40" s="7">
        <v>36</v>
      </c>
      <c r="C40" s="8" t="s">
        <v>189</v>
      </c>
      <c r="D40" s="8" t="s">
        <v>154</v>
      </c>
      <c r="E40" s="20">
        <v>0.46</v>
      </c>
      <c r="F40" s="10">
        <v>112.164</v>
      </c>
      <c r="G40" s="11">
        <f t="shared" si="0"/>
        <v>51.59544</v>
      </c>
    </row>
    <row r="41" spans="2:7" ht="12">
      <c r="B41" s="7">
        <v>37</v>
      </c>
      <c r="C41" s="8" t="s">
        <v>190</v>
      </c>
      <c r="D41" s="8" t="s">
        <v>154</v>
      </c>
      <c r="E41" s="20">
        <v>56.25</v>
      </c>
      <c r="F41" s="10">
        <v>100.94760000000002</v>
      </c>
      <c r="G41" s="11">
        <f t="shared" si="0"/>
        <v>5678.302500000002</v>
      </c>
    </row>
    <row r="42" spans="2:7" ht="12">
      <c r="B42" s="7">
        <v>38</v>
      </c>
      <c r="C42" s="8" t="s">
        <v>191</v>
      </c>
      <c r="D42" s="8" t="s">
        <v>154</v>
      </c>
      <c r="E42" s="20">
        <v>56.25</v>
      </c>
      <c r="F42" s="10">
        <v>126.18450000000001</v>
      </c>
      <c r="G42" s="11">
        <f t="shared" si="0"/>
        <v>7097.878125000001</v>
      </c>
    </row>
    <row r="43" spans="2:7" ht="12">
      <c r="B43" s="7">
        <v>39</v>
      </c>
      <c r="C43" s="8" t="s">
        <v>192</v>
      </c>
      <c r="D43" s="8" t="s">
        <v>154</v>
      </c>
      <c r="E43" s="20">
        <v>6.87</v>
      </c>
      <c r="F43" s="10">
        <v>126.18450000000001</v>
      </c>
      <c r="G43" s="11">
        <f t="shared" si="0"/>
        <v>866.8875150000001</v>
      </c>
    </row>
    <row r="44" spans="2:7" ht="24">
      <c r="B44" s="7">
        <v>40</v>
      </c>
      <c r="C44" s="8" t="s">
        <v>193</v>
      </c>
      <c r="D44" s="8" t="s">
        <v>194</v>
      </c>
      <c r="E44" s="20">
        <v>56.23092</v>
      </c>
      <c r="F44" s="10">
        <v>143.9438</v>
      </c>
      <c r="G44" s="11">
        <f t="shared" si="0"/>
        <v>8094.0923022960005</v>
      </c>
    </row>
    <row r="45" spans="2:7" ht="24">
      <c r="B45" s="7">
        <v>41</v>
      </c>
      <c r="C45" s="8" t="s">
        <v>195</v>
      </c>
      <c r="D45" s="8" t="s">
        <v>154</v>
      </c>
      <c r="E45" s="20">
        <v>18.32</v>
      </c>
      <c r="F45" s="10">
        <v>112.164</v>
      </c>
      <c r="G45" s="11">
        <f t="shared" si="0"/>
        <v>2054.84448</v>
      </c>
    </row>
    <row r="46" spans="2:7" ht="24">
      <c r="B46" s="7">
        <v>42</v>
      </c>
      <c r="C46" s="8" t="s">
        <v>196</v>
      </c>
      <c r="D46" s="8" t="s">
        <v>154</v>
      </c>
      <c r="E46" s="20">
        <v>62.69092</v>
      </c>
      <c r="F46" s="10">
        <v>126.18450000000001</v>
      </c>
      <c r="G46" s="11">
        <f t="shared" si="0"/>
        <v>7910.62239474</v>
      </c>
    </row>
    <row r="47" spans="2:7" ht="12">
      <c r="B47" s="182" t="s">
        <v>139</v>
      </c>
      <c r="C47" s="182"/>
      <c r="D47" s="182"/>
      <c r="E47" s="182"/>
      <c r="F47" s="182"/>
      <c r="G47" s="22">
        <f>SUM(G5:G46)</f>
        <v>197043.1127090843</v>
      </c>
    </row>
    <row r="48" spans="2:7" ht="12.75" customHeight="1">
      <c r="B48" s="183" t="s">
        <v>197</v>
      </c>
      <c r="C48" s="183"/>
      <c r="D48" s="183"/>
      <c r="E48" s="183"/>
      <c r="F48" s="183"/>
      <c r="G48" s="183"/>
    </row>
    <row r="49" spans="2:7" ht="24">
      <c r="B49" s="15">
        <v>43</v>
      </c>
      <c r="C49" s="16" t="s">
        <v>198</v>
      </c>
      <c r="D49" s="16" t="s">
        <v>199</v>
      </c>
      <c r="E49" s="17">
        <v>4.62</v>
      </c>
      <c r="F49" s="18">
        <v>15.7675</v>
      </c>
      <c r="G49" s="19">
        <f aca="true" t="shared" si="1" ref="G49:G80">E49*F49</f>
        <v>72.84585</v>
      </c>
    </row>
    <row r="50" spans="2:7" ht="24">
      <c r="B50" s="7">
        <v>44</v>
      </c>
      <c r="C50" s="8" t="s">
        <v>200</v>
      </c>
      <c r="D50" s="8" t="s">
        <v>199</v>
      </c>
      <c r="E50" s="20">
        <v>2.75</v>
      </c>
      <c r="F50" s="10">
        <v>24.525899999999996</v>
      </c>
      <c r="G50" s="11">
        <f t="shared" si="1"/>
        <v>67.44622499999998</v>
      </c>
    </row>
    <row r="51" spans="2:7" ht="24">
      <c r="B51" s="7">
        <v>45</v>
      </c>
      <c r="C51" s="8" t="s">
        <v>201</v>
      </c>
      <c r="D51" s="8" t="s">
        <v>199</v>
      </c>
      <c r="E51" s="20">
        <v>0</v>
      </c>
      <c r="F51" s="10">
        <v>30.464</v>
      </c>
      <c r="G51" s="11">
        <f t="shared" si="1"/>
        <v>0</v>
      </c>
    </row>
    <row r="52" spans="2:7" ht="24">
      <c r="B52" s="7">
        <v>46</v>
      </c>
      <c r="C52" s="8" t="s">
        <v>202</v>
      </c>
      <c r="D52" s="8" t="s">
        <v>199</v>
      </c>
      <c r="E52" s="20">
        <v>4.84</v>
      </c>
      <c r="F52" s="10">
        <v>41.1621</v>
      </c>
      <c r="G52" s="11">
        <f t="shared" si="1"/>
        <v>199.22456400000002</v>
      </c>
    </row>
    <row r="53" spans="2:7" ht="12">
      <c r="B53" s="7">
        <v>47</v>
      </c>
      <c r="C53" s="8" t="s">
        <v>203</v>
      </c>
      <c r="D53" s="8" t="s">
        <v>204</v>
      </c>
      <c r="E53" s="20">
        <v>2.124</v>
      </c>
      <c r="F53" s="10">
        <v>2678.7495</v>
      </c>
      <c r="G53" s="11">
        <f t="shared" si="1"/>
        <v>5689.663938</v>
      </c>
    </row>
    <row r="54" spans="2:7" ht="12">
      <c r="B54" s="7">
        <v>48</v>
      </c>
      <c r="C54" s="8" t="s">
        <v>205</v>
      </c>
      <c r="D54" s="8" t="s">
        <v>206</v>
      </c>
      <c r="E54" s="20">
        <v>0.20184</v>
      </c>
      <c r="F54" s="10">
        <v>386.0003</v>
      </c>
      <c r="G54" s="11">
        <f t="shared" si="1"/>
        <v>77.910300552</v>
      </c>
    </row>
    <row r="55" spans="2:7" ht="12">
      <c r="B55" s="7">
        <v>49</v>
      </c>
      <c r="C55" s="8" t="s">
        <v>207</v>
      </c>
      <c r="D55" s="8" t="s">
        <v>204</v>
      </c>
      <c r="E55" s="20">
        <v>5E-05</v>
      </c>
      <c r="F55" s="10">
        <v>57049.6591</v>
      </c>
      <c r="G55" s="11">
        <f t="shared" si="1"/>
        <v>2.852482955</v>
      </c>
    </row>
    <row r="56" spans="2:7" ht="12">
      <c r="B56" s="7">
        <v>50</v>
      </c>
      <c r="C56" s="8" t="s">
        <v>208</v>
      </c>
      <c r="D56" s="8" t="s">
        <v>204</v>
      </c>
      <c r="E56" s="20">
        <v>0.00252</v>
      </c>
      <c r="F56" s="10">
        <v>47629.78569999999</v>
      </c>
      <c r="G56" s="11">
        <f t="shared" si="1"/>
        <v>120.02705996399999</v>
      </c>
    </row>
    <row r="57" spans="2:7" ht="12">
      <c r="B57" s="7">
        <v>51</v>
      </c>
      <c r="C57" s="8" t="s">
        <v>209</v>
      </c>
      <c r="D57" s="8" t="s">
        <v>204</v>
      </c>
      <c r="E57" s="20">
        <v>0.0540456</v>
      </c>
      <c r="F57" s="10">
        <v>53278.061200000004</v>
      </c>
      <c r="G57" s="11">
        <f t="shared" si="1"/>
        <v>2879.44478439072</v>
      </c>
    </row>
    <row r="58" spans="2:7" ht="12">
      <c r="B58" s="7">
        <v>52</v>
      </c>
      <c r="C58" s="8" t="s">
        <v>210</v>
      </c>
      <c r="D58" s="8" t="s">
        <v>204</v>
      </c>
      <c r="E58" s="20">
        <v>0.00512</v>
      </c>
      <c r="F58" s="10">
        <v>14199.377499999999</v>
      </c>
      <c r="G58" s="11">
        <f t="shared" si="1"/>
        <v>72.7008128</v>
      </c>
    </row>
    <row r="59" spans="2:7" ht="24">
      <c r="B59" s="7">
        <v>53</v>
      </c>
      <c r="C59" s="8" t="s">
        <v>211</v>
      </c>
      <c r="D59" s="8" t="s">
        <v>204</v>
      </c>
      <c r="E59" s="20">
        <v>0.00105</v>
      </c>
      <c r="F59" s="10">
        <v>58783.7271</v>
      </c>
      <c r="G59" s="11">
        <f t="shared" si="1"/>
        <v>61.72291345499999</v>
      </c>
    </row>
    <row r="60" spans="2:7" ht="24">
      <c r="B60" s="7">
        <v>54</v>
      </c>
      <c r="C60" s="8" t="s">
        <v>212</v>
      </c>
      <c r="D60" s="8" t="s">
        <v>204</v>
      </c>
      <c r="E60" s="20">
        <v>0.00324</v>
      </c>
      <c r="F60" s="10">
        <v>64294.6409</v>
      </c>
      <c r="G60" s="11">
        <f t="shared" si="1"/>
        <v>208.31463651599998</v>
      </c>
    </row>
    <row r="61" spans="2:7" ht="12">
      <c r="B61" s="7">
        <v>55</v>
      </c>
      <c r="C61" s="8" t="s">
        <v>213</v>
      </c>
      <c r="D61" s="8" t="s">
        <v>204</v>
      </c>
      <c r="E61" s="20">
        <v>0.011105</v>
      </c>
      <c r="F61" s="10">
        <v>83700.792</v>
      </c>
      <c r="G61" s="11">
        <f t="shared" si="1"/>
        <v>929.49729516</v>
      </c>
    </row>
    <row r="62" spans="2:7" ht="24">
      <c r="B62" s="7">
        <v>56</v>
      </c>
      <c r="C62" s="8" t="s">
        <v>214</v>
      </c>
      <c r="D62" s="8" t="s">
        <v>199</v>
      </c>
      <c r="E62" s="20">
        <v>12</v>
      </c>
      <c r="F62" s="10">
        <v>81.96719999999999</v>
      </c>
      <c r="G62" s="11">
        <f t="shared" si="1"/>
        <v>983.6063999999999</v>
      </c>
    </row>
    <row r="63" spans="2:7" ht="12">
      <c r="B63" s="7">
        <v>57</v>
      </c>
      <c r="C63" s="8" t="s">
        <v>215</v>
      </c>
      <c r="D63" s="8" t="s">
        <v>199</v>
      </c>
      <c r="E63" s="20">
        <v>8</v>
      </c>
      <c r="F63" s="10">
        <v>160.54289999999997</v>
      </c>
      <c r="G63" s="11">
        <f t="shared" si="1"/>
        <v>1284.3431999999998</v>
      </c>
    </row>
    <row r="64" spans="2:7" ht="12">
      <c r="B64" s="7">
        <v>58</v>
      </c>
      <c r="C64" s="8" t="s">
        <v>216</v>
      </c>
      <c r="D64" s="8" t="s">
        <v>217</v>
      </c>
      <c r="E64" s="20">
        <v>0.581</v>
      </c>
      <c r="F64" s="10">
        <v>20.741699999999998</v>
      </c>
      <c r="G64" s="11">
        <f t="shared" si="1"/>
        <v>12.050927699999997</v>
      </c>
    </row>
    <row r="65" spans="2:7" ht="12">
      <c r="B65" s="7">
        <v>59</v>
      </c>
      <c r="C65" s="8" t="s">
        <v>218</v>
      </c>
      <c r="D65" s="8" t="s">
        <v>206</v>
      </c>
      <c r="E65" s="20">
        <v>52.633748</v>
      </c>
      <c r="F65" s="10">
        <v>28.6433</v>
      </c>
      <c r="G65" s="11">
        <f t="shared" si="1"/>
        <v>1507.6042340883998</v>
      </c>
    </row>
    <row r="66" spans="2:7" ht="12">
      <c r="B66" s="7">
        <v>60</v>
      </c>
      <c r="C66" s="8" t="s">
        <v>219</v>
      </c>
      <c r="D66" s="8" t="s">
        <v>220</v>
      </c>
      <c r="E66" s="20">
        <v>0.00366</v>
      </c>
      <c r="F66" s="10">
        <v>26752.7708</v>
      </c>
      <c r="G66" s="11">
        <f t="shared" si="1"/>
        <v>97.915141128</v>
      </c>
    </row>
    <row r="67" spans="2:7" ht="12">
      <c r="B67" s="7">
        <v>61</v>
      </c>
      <c r="C67" s="8" t="s">
        <v>221</v>
      </c>
      <c r="D67" s="8" t="s">
        <v>204</v>
      </c>
      <c r="E67" s="20">
        <v>0.00024</v>
      </c>
      <c r="F67" s="10">
        <v>37276.274</v>
      </c>
      <c r="G67" s="11">
        <f t="shared" si="1"/>
        <v>8.94630576</v>
      </c>
    </row>
    <row r="68" spans="2:7" ht="12">
      <c r="B68" s="7">
        <v>62</v>
      </c>
      <c r="C68" s="8" t="s">
        <v>222</v>
      </c>
      <c r="D68" s="8" t="s">
        <v>217</v>
      </c>
      <c r="E68" s="20">
        <v>0.209</v>
      </c>
      <c r="F68" s="10">
        <v>317.94419999999997</v>
      </c>
      <c r="G68" s="11">
        <f t="shared" si="1"/>
        <v>66.45033779999999</v>
      </c>
    </row>
    <row r="69" spans="2:7" ht="12">
      <c r="B69" s="7">
        <v>63</v>
      </c>
      <c r="C69" s="8" t="s">
        <v>223</v>
      </c>
      <c r="D69" s="8" t="s">
        <v>224</v>
      </c>
      <c r="E69" s="20">
        <v>5.31</v>
      </c>
      <c r="F69" s="10">
        <v>37.9967</v>
      </c>
      <c r="G69" s="11">
        <f t="shared" si="1"/>
        <v>201.76247699999996</v>
      </c>
    </row>
    <row r="70" spans="2:7" ht="12">
      <c r="B70" s="7">
        <v>64</v>
      </c>
      <c r="C70" s="8" t="s">
        <v>225</v>
      </c>
      <c r="D70" s="8" t="s">
        <v>204</v>
      </c>
      <c r="E70" s="20">
        <v>0.0017499</v>
      </c>
      <c r="F70" s="10">
        <v>22783.5853</v>
      </c>
      <c r="G70" s="11">
        <f t="shared" si="1"/>
        <v>39.86899591647</v>
      </c>
    </row>
    <row r="71" spans="2:7" ht="12">
      <c r="B71" s="7">
        <v>65</v>
      </c>
      <c r="C71" s="8" t="s">
        <v>226</v>
      </c>
      <c r="D71" s="8" t="s">
        <v>206</v>
      </c>
      <c r="E71" s="20">
        <v>0.00036</v>
      </c>
      <c r="F71" s="10">
        <v>1071.0594999999998</v>
      </c>
      <c r="G71" s="11">
        <f t="shared" si="1"/>
        <v>0.38558141999999995</v>
      </c>
    </row>
    <row r="72" spans="2:7" ht="24">
      <c r="B72" s="7">
        <v>66</v>
      </c>
      <c r="C72" s="8" t="s">
        <v>227</v>
      </c>
      <c r="D72" s="8" t="s">
        <v>204</v>
      </c>
      <c r="E72" s="20">
        <v>0.00070075</v>
      </c>
      <c r="F72" s="10">
        <v>79242.7664</v>
      </c>
      <c r="G72" s="11">
        <f t="shared" si="1"/>
        <v>55.529368554799994</v>
      </c>
    </row>
    <row r="73" spans="2:7" ht="24">
      <c r="B73" s="7">
        <v>67</v>
      </c>
      <c r="C73" s="8" t="s">
        <v>228</v>
      </c>
      <c r="D73" s="8" t="s">
        <v>204</v>
      </c>
      <c r="E73" s="20">
        <v>8.4E-05</v>
      </c>
      <c r="F73" s="10">
        <v>78337.7</v>
      </c>
      <c r="G73" s="11">
        <f t="shared" si="1"/>
        <v>6.580366799999999</v>
      </c>
    </row>
    <row r="74" spans="2:7" ht="24">
      <c r="B74" s="7">
        <v>68</v>
      </c>
      <c r="C74" s="8" t="s">
        <v>229</v>
      </c>
      <c r="D74" s="8" t="s">
        <v>199</v>
      </c>
      <c r="E74" s="20">
        <v>1.5</v>
      </c>
      <c r="F74" s="10">
        <v>2499.476</v>
      </c>
      <c r="G74" s="11">
        <f t="shared" si="1"/>
        <v>3749.214</v>
      </c>
    </row>
    <row r="75" spans="2:7" ht="12">
      <c r="B75" s="7">
        <v>69</v>
      </c>
      <c r="C75" s="8" t="s">
        <v>230</v>
      </c>
      <c r="D75" s="8" t="s">
        <v>204</v>
      </c>
      <c r="E75" s="20">
        <v>0.00361</v>
      </c>
      <c r="F75" s="10">
        <v>2550.4556</v>
      </c>
      <c r="G75" s="11">
        <f t="shared" si="1"/>
        <v>9.207144715999998</v>
      </c>
    </row>
    <row r="76" spans="2:7" ht="12">
      <c r="B76" s="7">
        <v>70</v>
      </c>
      <c r="C76" s="8" t="s">
        <v>231</v>
      </c>
      <c r="D76" s="8" t="s">
        <v>217</v>
      </c>
      <c r="E76" s="20">
        <v>0.00273</v>
      </c>
      <c r="F76" s="10">
        <v>12.4593</v>
      </c>
      <c r="G76" s="11">
        <f t="shared" si="1"/>
        <v>0.034013889</v>
      </c>
    </row>
    <row r="77" spans="2:7" ht="12">
      <c r="B77" s="7">
        <v>71</v>
      </c>
      <c r="C77" s="8" t="s">
        <v>232</v>
      </c>
      <c r="D77" s="8" t="s">
        <v>217</v>
      </c>
      <c r="E77" s="20">
        <v>0.408</v>
      </c>
      <c r="F77" s="10">
        <v>237.6549</v>
      </c>
      <c r="G77" s="11">
        <f t="shared" si="1"/>
        <v>96.96319919999999</v>
      </c>
    </row>
    <row r="78" spans="2:7" ht="12">
      <c r="B78" s="7">
        <v>72</v>
      </c>
      <c r="C78" s="8" t="s">
        <v>233</v>
      </c>
      <c r="D78" s="8" t="s">
        <v>224</v>
      </c>
      <c r="E78" s="20">
        <v>0.03</v>
      </c>
      <c r="F78" s="10">
        <v>43.434999999999995</v>
      </c>
      <c r="G78" s="11">
        <f t="shared" si="1"/>
        <v>1.3030499999999998</v>
      </c>
    </row>
    <row r="79" spans="2:7" ht="12">
      <c r="B79" s="7">
        <v>73</v>
      </c>
      <c r="C79" s="8" t="s">
        <v>234</v>
      </c>
      <c r="D79" s="8" t="s">
        <v>204</v>
      </c>
      <c r="E79" s="20">
        <v>0.00036</v>
      </c>
      <c r="F79" s="10">
        <v>50747.5381</v>
      </c>
      <c r="G79" s="11">
        <f t="shared" si="1"/>
        <v>18.269113716</v>
      </c>
    </row>
    <row r="80" spans="2:7" ht="12">
      <c r="B80" s="7">
        <v>74</v>
      </c>
      <c r="C80" s="8" t="s">
        <v>235</v>
      </c>
      <c r="D80" s="8" t="s">
        <v>204</v>
      </c>
      <c r="E80" s="20">
        <v>0.0029301</v>
      </c>
      <c r="F80" s="10">
        <v>52734.83809999999</v>
      </c>
      <c r="G80" s="11">
        <f t="shared" si="1"/>
        <v>154.51834911681</v>
      </c>
    </row>
    <row r="81" spans="2:7" ht="12">
      <c r="B81" s="7">
        <v>75</v>
      </c>
      <c r="C81" s="8" t="s">
        <v>236</v>
      </c>
      <c r="D81" s="8" t="s">
        <v>206</v>
      </c>
      <c r="E81" s="20">
        <v>0.2211</v>
      </c>
      <c r="F81" s="10">
        <v>61.77289999999999</v>
      </c>
      <c r="G81" s="11">
        <f aca="true" t="shared" si="2" ref="G81:G112">E81*F81</f>
        <v>13.657988189999998</v>
      </c>
    </row>
    <row r="82" spans="2:7" ht="12">
      <c r="B82" s="7">
        <v>76</v>
      </c>
      <c r="C82" s="8" t="s">
        <v>237</v>
      </c>
      <c r="D82" s="8" t="s">
        <v>199</v>
      </c>
      <c r="E82" s="20">
        <v>30</v>
      </c>
      <c r="F82" s="10">
        <v>39.9126</v>
      </c>
      <c r="G82" s="11">
        <f t="shared" si="2"/>
        <v>1197.378</v>
      </c>
    </row>
    <row r="83" spans="2:7" ht="12">
      <c r="B83" s="7">
        <v>77</v>
      </c>
      <c r="C83" s="8" t="s">
        <v>238</v>
      </c>
      <c r="D83" s="8" t="s">
        <v>204</v>
      </c>
      <c r="E83" s="20">
        <v>0.0002</v>
      </c>
      <c r="F83" s="10">
        <v>40326.101200000005</v>
      </c>
      <c r="G83" s="11">
        <f t="shared" si="2"/>
        <v>8.065220240000002</v>
      </c>
    </row>
    <row r="84" spans="2:7" ht="12">
      <c r="B84" s="7">
        <v>78</v>
      </c>
      <c r="C84" s="8" t="s">
        <v>239</v>
      </c>
      <c r="D84" s="8" t="s">
        <v>204</v>
      </c>
      <c r="E84" s="20">
        <v>0.00021</v>
      </c>
      <c r="F84" s="10">
        <v>78217.31959999999</v>
      </c>
      <c r="G84" s="11">
        <f t="shared" si="2"/>
        <v>16.425637115999997</v>
      </c>
    </row>
    <row r="85" spans="2:7" ht="12">
      <c r="B85" s="7">
        <v>79</v>
      </c>
      <c r="C85" s="8" t="s">
        <v>240</v>
      </c>
      <c r="D85" s="8" t="s">
        <v>204</v>
      </c>
      <c r="E85" s="20">
        <v>0.001615</v>
      </c>
      <c r="F85" s="10">
        <v>39962.984599999996</v>
      </c>
      <c r="G85" s="11">
        <f t="shared" si="2"/>
        <v>64.54022012899999</v>
      </c>
    </row>
    <row r="86" spans="2:7" ht="12">
      <c r="B86" s="7">
        <v>80</v>
      </c>
      <c r="C86" s="8" t="s">
        <v>241</v>
      </c>
      <c r="D86" s="8" t="s">
        <v>224</v>
      </c>
      <c r="E86" s="20">
        <v>0.155</v>
      </c>
      <c r="F86" s="10">
        <v>22.764699999999998</v>
      </c>
      <c r="G86" s="11">
        <f t="shared" si="2"/>
        <v>3.5285284999999997</v>
      </c>
    </row>
    <row r="87" spans="2:7" ht="12">
      <c r="B87" s="7">
        <v>81</v>
      </c>
      <c r="C87" s="8" t="s">
        <v>242</v>
      </c>
      <c r="D87" s="8" t="s">
        <v>217</v>
      </c>
      <c r="E87" s="20">
        <v>52.1914</v>
      </c>
      <c r="F87" s="10">
        <v>46.0173</v>
      </c>
      <c r="G87" s="11">
        <f t="shared" si="2"/>
        <v>2401.70731122</v>
      </c>
    </row>
    <row r="88" spans="2:7" ht="12">
      <c r="B88" s="7">
        <v>82</v>
      </c>
      <c r="C88" s="8" t="s">
        <v>243</v>
      </c>
      <c r="D88" s="8" t="s">
        <v>204</v>
      </c>
      <c r="E88" s="20">
        <v>3E-05</v>
      </c>
      <c r="F88" s="10">
        <v>41532.666</v>
      </c>
      <c r="G88" s="11">
        <f t="shared" si="2"/>
        <v>1.24597998</v>
      </c>
    </row>
    <row r="89" spans="2:7" ht="12">
      <c r="B89" s="7">
        <v>83</v>
      </c>
      <c r="C89" s="8" t="s">
        <v>244</v>
      </c>
      <c r="D89" s="8" t="s">
        <v>217</v>
      </c>
      <c r="E89" s="20">
        <v>2.109</v>
      </c>
      <c r="F89" s="10">
        <v>58.750299999999996</v>
      </c>
      <c r="G89" s="11">
        <f t="shared" si="2"/>
        <v>123.90438269999999</v>
      </c>
    </row>
    <row r="90" spans="2:7" ht="24">
      <c r="B90" s="7">
        <v>84</v>
      </c>
      <c r="C90" s="8" t="s">
        <v>245</v>
      </c>
      <c r="D90" s="8" t="s">
        <v>217</v>
      </c>
      <c r="E90" s="20">
        <v>6</v>
      </c>
      <c r="F90" s="10">
        <v>116.02499999999999</v>
      </c>
      <c r="G90" s="11">
        <f t="shared" si="2"/>
        <v>696.15</v>
      </c>
    </row>
    <row r="91" spans="2:7" ht="36">
      <c r="B91" s="7">
        <v>85</v>
      </c>
      <c r="C91" s="8" t="s">
        <v>246</v>
      </c>
      <c r="D91" s="8" t="s">
        <v>204</v>
      </c>
      <c r="E91" s="20">
        <v>0.00544</v>
      </c>
      <c r="F91" s="10">
        <v>31272.5693</v>
      </c>
      <c r="G91" s="11">
        <f t="shared" si="2"/>
        <v>170.122776992</v>
      </c>
    </row>
    <row r="92" spans="2:7" ht="24">
      <c r="B92" s="7">
        <v>86</v>
      </c>
      <c r="C92" s="8" t="s">
        <v>247</v>
      </c>
      <c r="D92" s="8" t="s">
        <v>204</v>
      </c>
      <c r="E92" s="20">
        <v>5E-05</v>
      </c>
      <c r="F92" s="10">
        <v>326718.8197</v>
      </c>
      <c r="G92" s="11">
        <f t="shared" si="2"/>
        <v>16.335940985</v>
      </c>
    </row>
    <row r="93" spans="2:7" ht="12">
      <c r="B93" s="7">
        <v>87</v>
      </c>
      <c r="C93" s="8" t="s">
        <v>248</v>
      </c>
      <c r="D93" s="8" t="s">
        <v>217</v>
      </c>
      <c r="E93" s="20">
        <v>0.146</v>
      </c>
      <c r="F93" s="10">
        <v>62.3441</v>
      </c>
      <c r="G93" s="11">
        <f t="shared" si="2"/>
        <v>9.1022386</v>
      </c>
    </row>
    <row r="94" spans="2:7" ht="12">
      <c r="B94" s="7">
        <v>88</v>
      </c>
      <c r="C94" s="8" t="s">
        <v>249</v>
      </c>
      <c r="D94" s="8" t="s">
        <v>204</v>
      </c>
      <c r="E94" s="20">
        <v>7.2E-05</v>
      </c>
      <c r="F94" s="10">
        <v>60639.5321</v>
      </c>
      <c r="G94" s="11">
        <f t="shared" si="2"/>
        <v>4.3660463112</v>
      </c>
    </row>
    <row r="95" spans="2:7" ht="12">
      <c r="B95" s="7">
        <v>89</v>
      </c>
      <c r="C95" s="8" t="s">
        <v>250</v>
      </c>
      <c r="D95" s="8" t="s">
        <v>204</v>
      </c>
      <c r="E95" s="20">
        <v>0.396</v>
      </c>
      <c r="F95" s="10">
        <v>26056.2043</v>
      </c>
      <c r="G95" s="11">
        <f t="shared" si="2"/>
        <v>10318.256902800002</v>
      </c>
    </row>
    <row r="96" spans="2:7" ht="12">
      <c r="B96" s="7">
        <v>90</v>
      </c>
      <c r="C96" s="8" t="s">
        <v>251</v>
      </c>
      <c r="D96" s="8" t="s">
        <v>217</v>
      </c>
      <c r="E96" s="20">
        <v>0.45</v>
      </c>
      <c r="F96" s="10">
        <v>125.6164</v>
      </c>
      <c r="G96" s="11">
        <f t="shared" si="2"/>
        <v>56.52738</v>
      </c>
    </row>
    <row r="97" spans="2:7" ht="24">
      <c r="B97" s="7">
        <v>91</v>
      </c>
      <c r="C97" s="8" t="s">
        <v>252</v>
      </c>
      <c r="D97" s="8" t="s">
        <v>204</v>
      </c>
      <c r="E97" s="20">
        <v>0.0006501</v>
      </c>
      <c r="F97" s="10">
        <v>59302.8051</v>
      </c>
      <c r="G97" s="11">
        <f t="shared" si="2"/>
        <v>38.55275359551</v>
      </c>
    </row>
    <row r="98" spans="2:7" ht="12">
      <c r="B98" s="7">
        <v>92</v>
      </c>
      <c r="C98" s="8" t="s">
        <v>253</v>
      </c>
      <c r="D98" s="8" t="s">
        <v>204</v>
      </c>
      <c r="E98" s="20">
        <v>0.1905</v>
      </c>
      <c r="F98" s="10">
        <v>39254.803700000004</v>
      </c>
      <c r="G98" s="11">
        <f t="shared" si="2"/>
        <v>7478.040104850001</v>
      </c>
    </row>
    <row r="99" spans="2:7" ht="12">
      <c r="B99" s="7">
        <v>93</v>
      </c>
      <c r="C99" s="8" t="s">
        <v>254</v>
      </c>
      <c r="D99" s="8" t="s">
        <v>204</v>
      </c>
      <c r="E99" s="20">
        <v>0.000155</v>
      </c>
      <c r="F99" s="10">
        <v>71280.0242</v>
      </c>
      <c r="G99" s="11">
        <f t="shared" si="2"/>
        <v>11.048403751</v>
      </c>
    </row>
    <row r="100" spans="2:7" ht="24">
      <c r="B100" s="7">
        <v>94</v>
      </c>
      <c r="C100" s="8" t="s">
        <v>255</v>
      </c>
      <c r="D100" s="8" t="s">
        <v>206</v>
      </c>
      <c r="E100" s="20">
        <v>0.01064</v>
      </c>
      <c r="F100" s="10">
        <v>2333.4114999999997</v>
      </c>
      <c r="G100" s="11">
        <f t="shared" si="2"/>
        <v>24.827498359999996</v>
      </c>
    </row>
    <row r="101" spans="2:7" ht="12">
      <c r="B101" s="7">
        <v>95</v>
      </c>
      <c r="C101" s="8" t="s">
        <v>256</v>
      </c>
      <c r="D101" s="8" t="s">
        <v>199</v>
      </c>
      <c r="E101" s="20">
        <v>645.8</v>
      </c>
      <c r="F101" s="10">
        <v>3.7960999999999996</v>
      </c>
      <c r="G101" s="11">
        <f t="shared" si="2"/>
        <v>2451.5213799999997</v>
      </c>
    </row>
    <row r="102" spans="2:7" ht="12">
      <c r="B102" s="7">
        <v>96</v>
      </c>
      <c r="C102" s="8" t="s">
        <v>257</v>
      </c>
      <c r="D102" s="8" t="s">
        <v>217</v>
      </c>
      <c r="E102" s="20">
        <v>9.3192</v>
      </c>
      <c r="F102" s="10">
        <v>176.02479999999997</v>
      </c>
      <c r="G102" s="11">
        <f t="shared" si="2"/>
        <v>1640.4103161599999</v>
      </c>
    </row>
    <row r="103" spans="2:7" ht="12">
      <c r="B103" s="7">
        <v>97</v>
      </c>
      <c r="C103" s="8" t="s">
        <v>258</v>
      </c>
      <c r="D103" s="8" t="s">
        <v>217</v>
      </c>
      <c r="E103" s="20">
        <v>0.475</v>
      </c>
      <c r="F103" s="10">
        <v>35.319199999999995</v>
      </c>
      <c r="G103" s="11">
        <f t="shared" si="2"/>
        <v>16.776619999999998</v>
      </c>
    </row>
    <row r="104" spans="2:7" ht="24">
      <c r="B104" s="7">
        <v>98</v>
      </c>
      <c r="C104" s="8" t="s">
        <v>259</v>
      </c>
      <c r="D104" s="8" t="s">
        <v>204</v>
      </c>
      <c r="E104" s="20">
        <v>0.000122</v>
      </c>
      <c r="F104" s="10">
        <v>340343.0821</v>
      </c>
      <c r="G104" s="11">
        <f t="shared" si="2"/>
        <v>41.5218560162</v>
      </c>
    </row>
    <row r="105" spans="2:7" ht="12">
      <c r="B105" s="7">
        <v>99</v>
      </c>
      <c r="C105" s="8" t="s">
        <v>260</v>
      </c>
      <c r="D105" s="8" t="s">
        <v>199</v>
      </c>
      <c r="E105" s="20">
        <v>30</v>
      </c>
      <c r="F105" s="10">
        <v>65.02159999999999</v>
      </c>
      <c r="G105" s="11">
        <f t="shared" si="2"/>
        <v>1950.6479999999997</v>
      </c>
    </row>
    <row r="106" spans="2:7" ht="12">
      <c r="B106" s="7">
        <v>100</v>
      </c>
      <c r="C106" s="8" t="s">
        <v>261</v>
      </c>
      <c r="D106" s="8" t="s">
        <v>204</v>
      </c>
      <c r="E106" s="20">
        <v>0.000106</v>
      </c>
      <c r="F106" s="10">
        <v>36366.5904</v>
      </c>
      <c r="G106" s="11">
        <f t="shared" si="2"/>
        <v>3.8548585824000003</v>
      </c>
    </row>
    <row r="107" spans="2:7" ht="12">
      <c r="B107" s="7">
        <v>101</v>
      </c>
      <c r="C107" s="8" t="s">
        <v>262</v>
      </c>
      <c r="D107" s="8" t="s">
        <v>217</v>
      </c>
      <c r="E107" s="20">
        <v>5.22315</v>
      </c>
      <c r="F107" s="10">
        <v>107.4451</v>
      </c>
      <c r="G107" s="11">
        <f t="shared" si="2"/>
        <v>561.201874065</v>
      </c>
    </row>
    <row r="108" spans="2:7" ht="12">
      <c r="B108" s="7">
        <v>102</v>
      </c>
      <c r="C108" s="8" t="s">
        <v>263</v>
      </c>
      <c r="D108" s="8" t="s">
        <v>217</v>
      </c>
      <c r="E108" s="20">
        <v>0.0976</v>
      </c>
      <c r="F108" s="10">
        <v>58.750299999999996</v>
      </c>
      <c r="G108" s="11">
        <f t="shared" si="2"/>
        <v>5.73402928</v>
      </c>
    </row>
    <row r="109" spans="2:7" ht="12">
      <c r="B109" s="7">
        <v>103</v>
      </c>
      <c r="C109" s="8" t="s">
        <v>264</v>
      </c>
      <c r="D109" s="8" t="s">
        <v>217</v>
      </c>
      <c r="E109" s="20">
        <v>0.141</v>
      </c>
      <c r="F109" s="10">
        <v>61.4397</v>
      </c>
      <c r="G109" s="11">
        <f t="shared" si="2"/>
        <v>8.6629977</v>
      </c>
    </row>
    <row r="110" spans="2:7" ht="12">
      <c r="B110" s="7">
        <v>104</v>
      </c>
      <c r="C110" s="8" t="s">
        <v>265</v>
      </c>
      <c r="D110" s="8" t="s">
        <v>204</v>
      </c>
      <c r="E110" s="20">
        <v>2.5E-05</v>
      </c>
      <c r="F110" s="10">
        <v>191386.629</v>
      </c>
      <c r="G110" s="11">
        <f t="shared" si="2"/>
        <v>4.784665725</v>
      </c>
    </row>
    <row r="111" spans="2:7" ht="12">
      <c r="B111" s="7">
        <v>105</v>
      </c>
      <c r="C111" s="8" t="s">
        <v>266</v>
      </c>
      <c r="D111" s="8" t="s">
        <v>204</v>
      </c>
      <c r="E111" s="20">
        <v>0.021375</v>
      </c>
      <c r="F111" s="10">
        <v>7450.3996</v>
      </c>
      <c r="G111" s="11">
        <f t="shared" si="2"/>
        <v>159.25229145</v>
      </c>
    </row>
    <row r="112" spans="2:7" ht="24">
      <c r="B112" s="7">
        <v>106</v>
      </c>
      <c r="C112" s="8" t="s">
        <v>267</v>
      </c>
      <c r="D112" s="8" t="s">
        <v>206</v>
      </c>
      <c r="E112" s="20">
        <v>0.00023762</v>
      </c>
      <c r="F112" s="10">
        <v>713.8096</v>
      </c>
      <c r="G112" s="11">
        <f t="shared" si="2"/>
        <v>0.169615437152</v>
      </c>
    </row>
    <row r="113" spans="2:7" ht="12">
      <c r="B113" s="7">
        <v>107</v>
      </c>
      <c r="C113" s="8" t="s">
        <v>268</v>
      </c>
      <c r="D113" s="8" t="s">
        <v>204</v>
      </c>
      <c r="E113" s="20">
        <v>0.1125</v>
      </c>
      <c r="F113" s="10">
        <v>45366.90549999999</v>
      </c>
      <c r="G113" s="11">
        <f aca="true" t="shared" si="3" ref="G113:G144">E113*F113</f>
        <v>5103.776868749999</v>
      </c>
    </row>
    <row r="114" spans="2:7" ht="12">
      <c r="B114" s="7">
        <v>108</v>
      </c>
      <c r="C114" s="8" t="s">
        <v>269</v>
      </c>
      <c r="D114" s="8" t="s">
        <v>217</v>
      </c>
      <c r="E114" s="20">
        <v>0.312</v>
      </c>
      <c r="F114" s="10">
        <v>162.44689999999997</v>
      </c>
      <c r="G114" s="11">
        <f t="shared" si="3"/>
        <v>50.68343279999999</v>
      </c>
    </row>
    <row r="115" spans="2:7" ht="12">
      <c r="B115" s="7">
        <v>109</v>
      </c>
      <c r="C115" s="8" t="s">
        <v>270</v>
      </c>
      <c r="D115" s="8" t="s">
        <v>204</v>
      </c>
      <c r="E115" s="20">
        <v>3E-05</v>
      </c>
      <c r="F115" s="10">
        <v>55551.234899999996</v>
      </c>
      <c r="G115" s="11">
        <f t="shared" si="3"/>
        <v>1.6665370469999998</v>
      </c>
    </row>
    <row r="116" spans="2:7" ht="12">
      <c r="B116" s="7">
        <v>110</v>
      </c>
      <c r="C116" s="8" t="s">
        <v>271</v>
      </c>
      <c r="D116" s="8" t="s">
        <v>199</v>
      </c>
      <c r="E116" s="20">
        <v>4</v>
      </c>
      <c r="F116" s="10">
        <v>856.7643</v>
      </c>
      <c r="G116" s="11">
        <f t="shared" si="3"/>
        <v>3427.0572</v>
      </c>
    </row>
    <row r="117" spans="2:7" ht="12">
      <c r="B117" s="7">
        <v>111</v>
      </c>
      <c r="C117" s="8" t="s">
        <v>272</v>
      </c>
      <c r="D117" s="8" t="s">
        <v>217</v>
      </c>
      <c r="E117" s="20">
        <v>0.005</v>
      </c>
      <c r="F117" s="10">
        <v>183.08149999999998</v>
      </c>
      <c r="G117" s="11">
        <f t="shared" si="3"/>
        <v>0.9154074999999999</v>
      </c>
    </row>
    <row r="118" spans="2:7" ht="12">
      <c r="B118" s="7">
        <v>112</v>
      </c>
      <c r="C118" s="8" t="s">
        <v>273</v>
      </c>
      <c r="D118" s="8" t="s">
        <v>274</v>
      </c>
      <c r="E118" s="20">
        <v>0.0306</v>
      </c>
      <c r="F118" s="21">
        <v>2373.24</v>
      </c>
      <c r="G118" s="11">
        <f t="shared" si="3"/>
        <v>72.62114399999999</v>
      </c>
    </row>
    <row r="119" spans="2:7" ht="12">
      <c r="B119" s="7">
        <v>113</v>
      </c>
      <c r="C119" s="8" t="s">
        <v>275</v>
      </c>
      <c r="D119" s="8" t="s">
        <v>204</v>
      </c>
      <c r="E119" s="20">
        <v>0.0001404</v>
      </c>
      <c r="F119" s="10">
        <v>42258.70879999999</v>
      </c>
      <c r="G119" s="11">
        <f t="shared" si="3"/>
        <v>5.933122715519999</v>
      </c>
    </row>
    <row r="120" spans="2:7" ht="24">
      <c r="B120" s="7">
        <v>114</v>
      </c>
      <c r="C120" s="8" t="s">
        <v>276</v>
      </c>
      <c r="D120" s="8" t="s">
        <v>204</v>
      </c>
      <c r="E120" s="20">
        <v>4E-05</v>
      </c>
      <c r="F120" s="10">
        <v>52870.7242</v>
      </c>
      <c r="G120" s="11">
        <f t="shared" si="3"/>
        <v>2.114828968</v>
      </c>
    </row>
    <row r="121" spans="2:7" ht="12">
      <c r="B121" s="7">
        <v>115</v>
      </c>
      <c r="C121" s="8" t="s">
        <v>277</v>
      </c>
      <c r="D121" s="8" t="s">
        <v>220</v>
      </c>
      <c r="E121" s="20">
        <v>0.005</v>
      </c>
      <c r="F121" s="10">
        <v>17823.8676</v>
      </c>
      <c r="G121" s="11">
        <f t="shared" si="3"/>
        <v>89.11933800000001</v>
      </c>
    </row>
    <row r="122" spans="2:7" ht="12">
      <c r="B122" s="7">
        <v>116</v>
      </c>
      <c r="C122" s="8" t="s">
        <v>278</v>
      </c>
      <c r="D122" s="8" t="s">
        <v>206</v>
      </c>
      <c r="E122" s="20">
        <v>1.65</v>
      </c>
      <c r="F122" s="10">
        <v>2785.0046</v>
      </c>
      <c r="G122" s="11">
        <f t="shared" si="3"/>
        <v>4595.25759</v>
      </c>
    </row>
    <row r="123" spans="2:7" ht="12">
      <c r="B123" s="7">
        <v>117</v>
      </c>
      <c r="C123" s="8" t="s">
        <v>279</v>
      </c>
      <c r="D123" s="8" t="s">
        <v>206</v>
      </c>
      <c r="E123" s="20">
        <v>0.0023</v>
      </c>
      <c r="F123" s="10">
        <v>2742.9024</v>
      </c>
      <c r="G123" s="11">
        <f t="shared" si="3"/>
        <v>6.3086755199999995</v>
      </c>
    </row>
    <row r="124" spans="2:7" ht="12">
      <c r="B124" s="7">
        <v>118</v>
      </c>
      <c r="C124" s="8" t="s">
        <v>280</v>
      </c>
      <c r="D124" s="8" t="s">
        <v>206</v>
      </c>
      <c r="E124" s="20">
        <v>0.51</v>
      </c>
      <c r="F124" s="10">
        <v>2482.8041</v>
      </c>
      <c r="G124" s="11">
        <f t="shared" si="3"/>
        <v>1266.230091</v>
      </c>
    </row>
    <row r="125" spans="2:7" ht="12">
      <c r="B125" s="7">
        <v>119</v>
      </c>
      <c r="C125" s="8" t="s">
        <v>281</v>
      </c>
      <c r="D125" s="8" t="s">
        <v>206</v>
      </c>
      <c r="E125" s="20">
        <v>0.001</v>
      </c>
      <c r="F125" s="10">
        <v>3879.2452999999996</v>
      </c>
      <c r="G125" s="11">
        <f t="shared" si="3"/>
        <v>3.8792452999999996</v>
      </c>
    </row>
    <row r="126" spans="2:7" ht="12">
      <c r="B126" s="7">
        <v>120</v>
      </c>
      <c r="C126" s="8" t="s">
        <v>282</v>
      </c>
      <c r="D126" s="8" t="s">
        <v>204</v>
      </c>
      <c r="E126" s="20">
        <v>0.0012501</v>
      </c>
      <c r="F126" s="10">
        <v>61795.867</v>
      </c>
      <c r="G126" s="11">
        <f t="shared" si="3"/>
        <v>77.2510133367</v>
      </c>
    </row>
    <row r="127" spans="2:7" ht="12">
      <c r="B127" s="7">
        <v>121</v>
      </c>
      <c r="C127" s="8" t="s">
        <v>283</v>
      </c>
      <c r="D127" s="8" t="s">
        <v>199</v>
      </c>
      <c r="E127" s="20">
        <v>0.25</v>
      </c>
      <c r="F127" s="10">
        <v>135.9932</v>
      </c>
      <c r="G127" s="11">
        <f t="shared" si="3"/>
        <v>33.9983</v>
      </c>
    </row>
    <row r="128" spans="2:7" ht="12">
      <c r="B128" s="7">
        <v>122</v>
      </c>
      <c r="C128" s="8" t="s">
        <v>284</v>
      </c>
      <c r="D128" s="8" t="s">
        <v>199</v>
      </c>
      <c r="E128" s="20">
        <v>0.25</v>
      </c>
      <c r="F128" s="10">
        <v>15463.609699999999</v>
      </c>
      <c r="G128" s="11">
        <f t="shared" si="3"/>
        <v>3865.9024249999998</v>
      </c>
    </row>
    <row r="129" spans="2:7" ht="12">
      <c r="B129" s="7">
        <v>123</v>
      </c>
      <c r="C129" s="8" t="s">
        <v>285</v>
      </c>
      <c r="D129" s="8" t="s">
        <v>217</v>
      </c>
      <c r="E129" s="20">
        <v>0.8</v>
      </c>
      <c r="F129" s="10">
        <v>89.2262</v>
      </c>
      <c r="G129" s="11">
        <f t="shared" si="3"/>
        <v>71.38096</v>
      </c>
    </row>
    <row r="130" spans="2:7" ht="12">
      <c r="B130" s="7">
        <v>124</v>
      </c>
      <c r="C130" s="8" t="s">
        <v>286</v>
      </c>
      <c r="D130" s="8" t="s">
        <v>217</v>
      </c>
      <c r="E130" s="20">
        <v>0.05</v>
      </c>
      <c r="F130" s="10">
        <v>259.47950000000003</v>
      </c>
      <c r="G130" s="11">
        <f t="shared" si="3"/>
        <v>12.973975000000003</v>
      </c>
    </row>
    <row r="131" spans="2:7" ht="12">
      <c r="B131" s="7">
        <v>125</v>
      </c>
      <c r="C131" s="8" t="s">
        <v>287</v>
      </c>
      <c r="D131" s="8" t="s">
        <v>224</v>
      </c>
      <c r="E131" s="20">
        <v>138</v>
      </c>
      <c r="F131" s="10">
        <v>11.6382</v>
      </c>
      <c r="G131" s="11">
        <f t="shared" si="3"/>
        <v>1606.0716</v>
      </c>
    </row>
    <row r="132" spans="2:7" ht="12">
      <c r="B132" s="7">
        <v>126</v>
      </c>
      <c r="C132" s="8" t="s">
        <v>288</v>
      </c>
      <c r="D132" s="8" t="s">
        <v>199</v>
      </c>
      <c r="E132" s="20">
        <v>1.83</v>
      </c>
      <c r="F132" s="10">
        <v>15.4343</v>
      </c>
      <c r="G132" s="11">
        <f t="shared" si="3"/>
        <v>28.244769</v>
      </c>
    </row>
    <row r="133" spans="2:7" ht="12">
      <c r="B133" s="7">
        <v>127</v>
      </c>
      <c r="C133" s="8" t="s">
        <v>289</v>
      </c>
      <c r="D133" s="8" t="s">
        <v>217</v>
      </c>
      <c r="E133" s="20">
        <v>0.294</v>
      </c>
      <c r="F133" s="10">
        <v>37.8777</v>
      </c>
      <c r="G133" s="11">
        <f t="shared" si="3"/>
        <v>11.136043799999998</v>
      </c>
    </row>
    <row r="134" spans="2:7" ht="24">
      <c r="B134" s="7">
        <v>128</v>
      </c>
      <c r="C134" s="8" t="s">
        <v>290</v>
      </c>
      <c r="D134" s="8" t="s">
        <v>204</v>
      </c>
      <c r="E134" s="20">
        <v>0.00024</v>
      </c>
      <c r="F134" s="10">
        <v>174718.87019999998</v>
      </c>
      <c r="G134" s="11">
        <f t="shared" si="3"/>
        <v>41.932528848</v>
      </c>
    </row>
    <row r="135" spans="2:7" ht="24">
      <c r="B135" s="7">
        <v>129</v>
      </c>
      <c r="C135" s="8" t="s">
        <v>291</v>
      </c>
      <c r="D135" s="8" t="s">
        <v>204</v>
      </c>
      <c r="E135" s="20">
        <v>0.0003</v>
      </c>
      <c r="F135" s="10">
        <v>176273.2482</v>
      </c>
      <c r="G135" s="11">
        <f t="shared" si="3"/>
        <v>52.881974459999995</v>
      </c>
    </row>
    <row r="136" spans="2:7" ht="12">
      <c r="B136" s="7">
        <v>130</v>
      </c>
      <c r="C136" s="8" t="s">
        <v>292</v>
      </c>
      <c r="D136" s="8" t="s">
        <v>204</v>
      </c>
      <c r="E136" s="20">
        <v>0.01038</v>
      </c>
      <c r="F136" s="10">
        <v>29779.3811</v>
      </c>
      <c r="G136" s="11">
        <f t="shared" si="3"/>
        <v>309.109975818</v>
      </c>
    </row>
    <row r="137" spans="2:7" ht="24">
      <c r="B137" s="7">
        <v>131</v>
      </c>
      <c r="C137" s="8" t="s">
        <v>293</v>
      </c>
      <c r="D137" s="8" t="s">
        <v>224</v>
      </c>
      <c r="E137" s="20">
        <v>0.68666667</v>
      </c>
      <c r="F137" s="10">
        <v>191.0188</v>
      </c>
      <c r="G137" s="11">
        <f t="shared" si="3"/>
        <v>131.16624330339602</v>
      </c>
    </row>
    <row r="138" spans="2:7" ht="12">
      <c r="B138" s="7">
        <v>132</v>
      </c>
      <c r="C138" s="8" t="s">
        <v>294</v>
      </c>
      <c r="D138" s="8" t="s">
        <v>204</v>
      </c>
      <c r="E138" s="20">
        <v>1E-05</v>
      </c>
      <c r="F138" s="10">
        <v>41189.505699999994</v>
      </c>
      <c r="G138" s="11">
        <f t="shared" si="3"/>
        <v>0.41189505699999995</v>
      </c>
    </row>
    <row r="139" spans="2:7" ht="12">
      <c r="B139" s="7">
        <v>133</v>
      </c>
      <c r="C139" s="8" t="s">
        <v>295</v>
      </c>
      <c r="D139" s="8" t="s">
        <v>204</v>
      </c>
      <c r="E139" s="20">
        <v>0.0002442</v>
      </c>
      <c r="F139" s="10">
        <v>105713.1145</v>
      </c>
      <c r="G139" s="11">
        <f t="shared" si="3"/>
        <v>25.815142560900004</v>
      </c>
    </row>
    <row r="140" spans="2:7" ht="12">
      <c r="B140" s="7">
        <v>134</v>
      </c>
      <c r="C140" s="8" t="s">
        <v>296</v>
      </c>
      <c r="D140" s="8" t="s">
        <v>204</v>
      </c>
      <c r="E140" s="20">
        <v>0.00033</v>
      </c>
      <c r="F140" s="10">
        <v>7101.3726</v>
      </c>
      <c r="G140" s="11">
        <f t="shared" si="3"/>
        <v>2.343452958</v>
      </c>
    </row>
    <row r="141" spans="2:7" ht="12">
      <c r="B141" s="7">
        <v>135</v>
      </c>
      <c r="C141" s="8" t="s">
        <v>297</v>
      </c>
      <c r="D141" s="8" t="s">
        <v>298</v>
      </c>
      <c r="E141" s="20">
        <v>2.3298</v>
      </c>
      <c r="F141" s="10">
        <v>255.55249999999998</v>
      </c>
      <c r="G141" s="11">
        <f t="shared" si="3"/>
        <v>595.3862144999999</v>
      </c>
    </row>
    <row r="142" spans="2:7" ht="36">
      <c r="B142" s="7">
        <v>136</v>
      </c>
      <c r="C142" s="8" t="s">
        <v>299</v>
      </c>
      <c r="D142" s="8" t="s">
        <v>204</v>
      </c>
      <c r="E142" s="20">
        <v>0.0006</v>
      </c>
      <c r="F142" s="10">
        <v>27909.605499999998</v>
      </c>
      <c r="G142" s="11">
        <f t="shared" si="3"/>
        <v>16.745763299999997</v>
      </c>
    </row>
    <row r="143" spans="2:7" ht="12">
      <c r="B143" s="7">
        <v>137</v>
      </c>
      <c r="C143" s="8" t="s">
        <v>300</v>
      </c>
      <c r="D143" s="8" t="s">
        <v>301</v>
      </c>
      <c r="E143" s="20">
        <v>8</v>
      </c>
      <c r="F143" s="10">
        <v>177.2267</v>
      </c>
      <c r="G143" s="11">
        <f t="shared" si="3"/>
        <v>1417.8136</v>
      </c>
    </row>
    <row r="144" spans="2:7" ht="12">
      <c r="B144" s="7">
        <v>138</v>
      </c>
      <c r="C144" s="8" t="s">
        <v>302</v>
      </c>
      <c r="D144" s="8" t="s">
        <v>301</v>
      </c>
      <c r="E144" s="20">
        <v>12.2</v>
      </c>
      <c r="F144" s="10">
        <v>230.6934</v>
      </c>
      <c r="G144" s="11">
        <f t="shared" si="3"/>
        <v>2814.45948</v>
      </c>
    </row>
    <row r="145" spans="2:7" ht="24">
      <c r="B145" s="7">
        <v>139</v>
      </c>
      <c r="C145" s="8" t="s">
        <v>303</v>
      </c>
      <c r="D145" s="8" t="s">
        <v>301</v>
      </c>
      <c r="E145" s="20">
        <v>9.98</v>
      </c>
      <c r="F145" s="10">
        <v>115.51329999999999</v>
      </c>
      <c r="G145" s="11">
        <f aca="true" t="shared" si="4" ref="G145:G159">E145*F145</f>
        <v>1152.8227339999999</v>
      </c>
    </row>
    <row r="146" spans="2:7" ht="24">
      <c r="B146" s="7">
        <v>140</v>
      </c>
      <c r="C146" s="8" t="s">
        <v>304</v>
      </c>
      <c r="D146" s="8" t="s">
        <v>301</v>
      </c>
      <c r="E146" s="20">
        <v>9.98</v>
      </c>
      <c r="F146" s="10">
        <v>206.4174</v>
      </c>
      <c r="G146" s="11">
        <f t="shared" si="4"/>
        <v>2060.045652</v>
      </c>
    </row>
    <row r="147" spans="2:7" ht="36">
      <c r="B147" s="7">
        <v>141</v>
      </c>
      <c r="C147" s="8" t="s">
        <v>305</v>
      </c>
      <c r="D147" s="8" t="s">
        <v>301</v>
      </c>
      <c r="E147" s="20">
        <v>0</v>
      </c>
      <c r="F147" s="10">
        <v>117.67909999999999</v>
      </c>
      <c r="G147" s="11">
        <f t="shared" si="4"/>
        <v>0</v>
      </c>
    </row>
    <row r="148" spans="2:7" ht="36">
      <c r="B148" s="7">
        <v>142</v>
      </c>
      <c r="C148" s="8" t="s">
        <v>306</v>
      </c>
      <c r="D148" s="8" t="s">
        <v>301</v>
      </c>
      <c r="E148" s="20">
        <v>22</v>
      </c>
      <c r="F148" s="10">
        <v>152.8079</v>
      </c>
      <c r="G148" s="11">
        <f t="shared" si="4"/>
        <v>3361.7738</v>
      </c>
    </row>
    <row r="149" spans="2:7" ht="36">
      <c r="B149" s="7">
        <v>143</v>
      </c>
      <c r="C149" s="8" t="s">
        <v>307</v>
      </c>
      <c r="D149" s="8" t="s">
        <v>301</v>
      </c>
      <c r="E149" s="20">
        <v>10</v>
      </c>
      <c r="F149" s="10">
        <v>237.9405</v>
      </c>
      <c r="G149" s="11">
        <f t="shared" si="4"/>
        <v>2379.4049999999997</v>
      </c>
    </row>
    <row r="150" spans="2:7" ht="36">
      <c r="B150" s="7">
        <v>144</v>
      </c>
      <c r="C150" s="8" t="s">
        <v>308</v>
      </c>
      <c r="D150" s="8" t="s">
        <v>301</v>
      </c>
      <c r="E150" s="20">
        <v>10</v>
      </c>
      <c r="F150" s="10">
        <v>249.80479999999997</v>
      </c>
      <c r="G150" s="11">
        <f t="shared" si="4"/>
        <v>2498.048</v>
      </c>
    </row>
    <row r="151" spans="2:7" ht="36">
      <c r="B151" s="7">
        <v>145</v>
      </c>
      <c r="C151" s="8" t="s">
        <v>309</v>
      </c>
      <c r="D151" s="8" t="s">
        <v>301</v>
      </c>
      <c r="E151" s="20">
        <v>12</v>
      </c>
      <c r="F151" s="10">
        <v>429.1259</v>
      </c>
      <c r="G151" s="11">
        <f t="shared" si="4"/>
        <v>5149.5108</v>
      </c>
    </row>
    <row r="152" spans="2:7" ht="36">
      <c r="B152" s="7">
        <v>146</v>
      </c>
      <c r="C152" s="8" t="s">
        <v>310</v>
      </c>
      <c r="D152" s="8" t="s">
        <v>301</v>
      </c>
      <c r="E152" s="20">
        <v>3</v>
      </c>
      <c r="F152" s="10">
        <v>350.5383</v>
      </c>
      <c r="G152" s="11">
        <f t="shared" si="4"/>
        <v>1051.6149</v>
      </c>
    </row>
    <row r="153" spans="2:7" ht="36">
      <c r="B153" s="7">
        <v>147</v>
      </c>
      <c r="C153" s="8" t="s">
        <v>311</v>
      </c>
      <c r="D153" s="8" t="s">
        <v>301</v>
      </c>
      <c r="E153" s="20">
        <v>21</v>
      </c>
      <c r="F153" s="10">
        <v>50.8249</v>
      </c>
      <c r="G153" s="11">
        <f t="shared" si="4"/>
        <v>1067.3229</v>
      </c>
    </row>
    <row r="154" spans="2:7" ht="36">
      <c r="B154" s="7">
        <v>148</v>
      </c>
      <c r="C154" s="8" t="s">
        <v>312</v>
      </c>
      <c r="D154" s="8" t="s">
        <v>301</v>
      </c>
      <c r="E154" s="20">
        <v>12.5</v>
      </c>
      <c r="F154" s="10">
        <v>95.55699999999999</v>
      </c>
      <c r="G154" s="11">
        <f t="shared" si="4"/>
        <v>1194.4624999999999</v>
      </c>
    </row>
    <row r="155" spans="2:7" ht="12">
      <c r="B155" s="7">
        <v>149</v>
      </c>
      <c r="C155" s="8" t="s">
        <v>313</v>
      </c>
      <c r="D155" s="8" t="s">
        <v>224</v>
      </c>
      <c r="E155" s="20">
        <v>0.1154</v>
      </c>
      <c r="F155" s="10">
        <v>237.0718</v>
      </c>
      <c r="G155" s="11">
        <f t="shared" si="4"/>
        <v>27.358085720000002</v>
      </c>
    </row>
    <row r="156" spans="2:7" ht="12">
      <c r="B156" s="7">
        <v>150</v>
      </c>
      <c r="C156" s="8" t="s">
        <v>314</v>
      </c>
      <c r="D156" s="8" t="s">
        <v>204</v>
      </c>
      <c r="E156" s="20">
        <v>0.00775</v>
      </c>
      <c r="F156" s="10">
        <v>13739.109299999998</v>
      </c>
      <c r="G156" s="11">
        <f t="shared" si="4"/>
        <v>106.47809707499998</v>
      </c>
    </row>
    <row r="157" spans="2:7" ht="12">
      <c r="B157" s="7">
        <v>151</v>
      </c>
      <c r="C157" s="8" t="s">
        <v>315</v>
      </c>
      <c r="D157" s="8" t="s">
        <v>301</v>
      </c>
      <c r="E157" s="20">
        <v>4.08</v>
      </c>
      <c r="F157" s="10">
        <v>85.1445</v>
      </c>
      <c r="G157" s="11">
        <f t="shared" si="4"/>
        <v>347.38955999999996</v>
      </c>
    </row>
    <row r="158" spans="2:7" ht="12">
      <c r="B158" s="7">
        <v>152</v>
      </c>
      <c r="C158" s="8" t="s">
        <v>316</v>
      </c>
      <c r="D158" s="8" t="s">
        <v>204</v>
      </c>
      <c r="E158" s="20">
        <v>0.0005858</v>
      </c>
      <c r="F158" s="10">
        <v>48488.93</v>
      </c>
      <c r="G158" s="11">
        <f t="shared" si="4"/>
        <v>28.404815194</v>
      </c>
    </row>
    <row r="159" spans="2:7" ht="12">
      <c r="B159" s="7">
        <v>153</v>
      </c>
      <c r="C159" s="8" t="s">
        <v>317</v>
      </c>
      <c r="D159" s="8" t="s">
        <v>204</v>
      </c>
      <c r="E159" s="20">
        <v>2E-05</v>
      </c>
      <c r="F159" s="10">
        <v>46803.771</v>
      </c>
      <c r="G159" s="11">
        <f t="shared" si="4"/>
        <v>0.9360754200000001</v>
      </c>
    </row>
    <row r="160" spans="2:7" ht="12">
      <c r="B160" s="182" t="s">
        <v>139</v>
      </c>
      <c r="C160" s="182"/>
      <c r="D160" s="182"/>
      <c r="E160" s="182"/>
      <c r="F160" s="182"/>
      <c r="G160" s="22">
        <f>SUM(G49:G159)</f>
        <v>94340.68664628513</v>
      </c>
    </row>
    <row r="161" spans="2:7" ht="12.75" customHeight="1">
      <c r="B161" s="183" t="s">
        <v>318</v>
      </c>
      <c r="C161" s="183"/>
      <c r="D161" s="183"/>
      <c r="E161" s="183"/>
      <c r="F161" s="183"/>
      <c r="G161" s="183"/>
    </row>
    <row r="162" spans="2:7" ht="12">
      <c r="B162" s="15">
        <v>154</v>
      </c>
      <c r="C162" s="16" t="s">
        <v>319</v>
      </c>
      <c r="D162" s="16" t="s">
        <v>199</v>
      </c>
      <c r="E162" s="17">
        <v>0.16536508</v>
      </c>
      <c r="F162" s="18">
        <v>104.3987</v>
      </c>
      <c r="G162" s="19">
        <f aca="true" t="shared" si="5" ref="G162:G169">E162*F162</f>
        <v>17.263899377396</v>
      </c>
    </row>
    <row r="163" spans="2:7" ht="12">
      <c r="B163" s="7">
        <v>155</v>
      </c>
      <c r="C163" s="8" t="s">
        <v>320</v>
      </c>
      <c r="D163" s="8" t="s">
        <v>199</v>
      </c>
      <c r="E163" s="20">
        <v>0.76437683</v>
      </c>
      <c r="F163" s="10">
        <v>77.3976</v>
      </c>
      <c r="G163" s="11">
        <f t="shared" si="5"/>
        <v>59.160932137608</v>
      </c>
    </row>
    <row r="164" spans="2:7" ht="12">
      <c r="B164" s="7">
        <v>156</v>
      </c>
      <c r="C164" s="8" t="s">
        <v>321</v>
      </c>
      <c r="D164" s="8" t="s">
        <v>199</v>
      </c>
      <c r="E164" s="20">
        <v>0.00525</v>
      </c>
      <c r="F164" s="10">
        <v>250.4831</v>
      </c>
      <c r="G164" s="11">
        <f t="shared" si="5"/>
        <v>1.3150362750000002</v>
      </c>
    </row>
    <row r="165" spans="2:7" ht="12">
      <c r="B165" s="7">
        <v>157</v>
      </c>
      <c r="C165" s="8" t="s">
        <v>322</v>
      </c>
      <c r="D165" s="8" t="s">
        <v>199</v>
      </c>
      <c r="E165" s="20">
        <v>10.5258</v>
      </c>
      <c r="F165" s="10">
        <v>66.8423</v>
      </c>
      <c r="G165" s="11">
        <f t="shared" si="5"/>
        <v>703.56868134</v>
      </c>
    </row>
    <row r="166" spans="2:7" ht="12">
      <c r="B166" s="7">
        <v>158</v>
      </c>
      <c r="C166" s="8" t="s">
        <v>323</v>
      </c>
      <c r="D166" s="8" t="s">
        <v>199</v>
      </c>
      <c r="E166" s="20">
        <v>0.00525</v>
      </c>
      <c r="F166" s="10">
        <v>135.66</v>
      </c>
      <c r="G166" s="11">
        <f t="shared" si="5"/>
        <v>0.712215</v>
      </c>
    </row>
    <row r="167" spans="2:7" ht="12">
      <c r="B167" s="7">
        <v>159</v>
      </c>
      <c r="C167" s="8" t="s">
        <v>324</v>
      </c>
      <c r="D167" s="8" t="s">
        <v>199</v>
      </c>
      <c r="E167" s="20">
        <v>0.06651044</v>
      </c>
      <c r="F167" s="10">
        <v>82.943</v>
      </c>
      <c r="G167" s="11">
        <f t="shared" si="5"/>
        <v>5.51657542492</v>
      </c>
    </row>
    <row r="168" spans="2:7" ht="12">
      <c r="B168" s="7">
        <v>160</v>
      </c>
      <c r="C168" s="8" t="s">
        <v>325</v>
      </c>
      <c r="D168" s="8" t="s">
        <v>199</v>
      </c>
      <c r="E168" s="20">
        <v>0.16712499</v>
      </c>
      <c r="F168" s="10">
        <v>51.74119999999999</v>
      </c>
      <c r="G168" s="11">
        <f t="shared" si="5"/>
        <v>8.647247532587999</v>
      </c>
    </row>
    <row r="169" spans="2:7" ht="12">
      <c r="B169" s="7">
        <v>161</v>
      </c>
      <c r="C169" s="8" t="s">
        <v>326</v>
      </c>
      <c r="D169" s="8" t="s">
        <v>199</v>
      </c>
      <c r="E169" s="20">
        <v>0.2427504</v>
      </c>
      <c r="F169" s="10">
        <v>200.039</v>
      </c>
      <c r="G169" s="11">
        <f t="shared" si="5"/>
        <v>48.559547265599996</v>
      </c>
    </row>
    <row r="170" spans="2:7" ht="12">
      <c r="B170" s="182" t="s">
        <v>139</v>
      </c>
      <c r="C170" s="182"/>
      <c r="D170" s="182"/>
      <c r="E170" s="182"/>
      <c r="F170" s="182"/>
      <c r="G170" s="22">
        <f>SUM(G162:G169)</f>
        <v>844.7441343531121</v>
      </c>
    </row>
    <row r="171" spans="2:7" ht="12.75" customHeight="1">
      <c r="B171" s="183" t="s">
        <v>327</v>
      </c>
      <c r="C171" s="183"/>
      <c r="D171" s="183"/>
      <c r="E171" s="183"/>
      <c r="F171" s="183"/>
      <c r="G171" s="183"/>
    </row>
    <row r="172" spans="2:7" ht="12">
      <c r="B172" s="15">
        <v>162</v>
      </c>
      <c r="C172" s="16" t="s">
        <v>328</v>
      </c>
      <c r="D172" s="16" t="s">
        <v>329</v>
      </c>
      <c r="E172" s="17">
        <v>27.205</v>
      </c>
      <c r="F172" s="18">
        <v>949.2588</v>
      </c>
      <c r="G172" s="19">
        <f>E172*F172</f>
        <v>25824.585654</v>
      </c>
    </row>
    <row r="173" spans="2:7" ht="12">
      <c r="B173" s="7">
        <v>163</v>
      </c>
      <c r="C173" s="8" t="s">
        <v>330</v>
      </c>
      <c r="D173" s="8" t="s">
        <v>329</v>
      </c>
      <c r="E173" s="20">
        <v>50.66775</v>
      </c>
      <c r="F173" s="10">
        <v>86.99040000000001</v>
      </c>
      <c r="G173" s="11">
        <f>E173*F173</f>
        <v>4407.6078396</v>
      </c>
    </row>
    <row r="174" spans="2:7" ht="12">
      <c r="B174" s="7">
        <v>164</v>
      </c>
      <c r="C174" s="8" t="s">
        <v>331</v>
      </c>
      <c r="D174" s="8" t="s">
        <v>332</v>
      </c>
      <c r="E174" s="20">
        <v>26.275</v>
      </c>
      <c r="F174" s="10">
        <v>693.7182</v>
      </c>
      <c r="G174" s="11">
        <f>E174*F174</f>
        <v>18227.445705</v>
      </c>
    </row>
    <row r="175" spans="2:7" ht="12">
      <c r="B175" s="7">
        <v>165</v>
      </c>
      <c r="C175" s="8" t="s">
        <v>333</v>
      </c>
      <c r="D175" s="8" t="s">
        <v>332</v>
      </c>
      <c r="E175" s="20">
        <v>0.465</v>
      </c>
      <c r="F175" s="10">
        <v>390.5496</v>
      </c>
      <c r="G175" s="11">
        <f>E175*F175</f>
        <v>181.60556400000002</v>
      </c>
    </row>
    <row r="176" spans="2:7" ht="12">
      <c r="B176" s="182" t="s">
        <v>139</v>
      </c>
      <c r="C176" s="182"/>
      <c r="D176" s="182"/>
      <c r="E176" s="182"/>
      <c r="F176" s="182"/>
      <c r="G176" s="22">
        <f>SUM(G172:G175)</f>
        <v>48641.24476259999</v>
      </c>
    </row>
  </sheetData>
  <sheetProtection selectLockedCells="1" selectUnlockedCells="1"/>
  <mergeCells count="9">
    <mergeCell ref="B170:F170"/>
    <mergeCell ref="B171:G171"/>
    <mergeCell ref="B176:F176"/>
    <mergeCell ref="B1:G1"/>
    <mergeCell ref="B4:G4"/>
    <mergeCell ref="B47:F47"/>
    <mergeCell ref="B48:G48"/>
    <mergeCell ref="B160:F160"/>
    <mergeCell ref="B161:G161"/>
  </mergeCells>
  <printOptions/>
  <pageMargins left="0.35" right="0.35" top="0.35" bottom="0.35" header="0.5118055555555555" footer="0.3"/>
  <pageSetup fitToHeight="0" fitToWidth="1" horizontalDpi="300" verticalDpi="300" orientation="portrait" paperSize="9" scale="90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0"/>
  <sheetViews>
    <sheetView zoomScale="89" zoomScaleNormal="89" zoomScalePageLayoutView="0" workbookViewId="0" topLeftCell="B1">
      <pane xSplit="3" ySplit="5" topLeftCell="E91" activePane="bottomRight" state="frozen"/>
      <selection pane="topLeft" activeCell="B1" sqref="B1"/>
      <selection pane="topRight" activeCell="E1" sqref="E1"/>
      <selection pane="bottomLeft" activeCell="B6" sqref="B6"/>
      <selection pane="bottomRight" activeCell="C98" sqref="C98:P99"/>
    </sheetView>
  </sheetViews>
  <sheetFormatPr defaultColWidth="9.140625" defaultRowHeight="12"/>
  <cols>
    <col min="1" max="1" width="0" style="1" hidden="1" customWidth="1"/>
    <col min="2" max="2" width="7.00390625" style="1" customWidth="1"/>
    <col min="3" max="3" width="50.00390625" style="1" customWidth="1"/>
    <col min="4" max="4" width="18.00390625" style="1" customWidth="1"/>
    <col min="5" max="5" width="15.00390625" style="1" customWidth="1"/>
    <col min="6" max="6" width="12.00390625" style="1" customWidth="1"/>
    <col min="7" max="12" width="13.00390625" style="1" customWidth="1"/>
    <col min="13" max="13" width="15.00390625" style="1" customWidth="1"/>
    <col min="14" max="14" width="10.421875" style="0" customWidth="1"/>
    <col min="15" max="15" width="10.7109375" style="0" customWidth="1"/>
    <col min="16" max="16" width="11.57421875" style="52" customWidth="1"/>
  </cols>
  <sheetData>
    <row r="1" spans="2:13" ht="27.75" customHeight="1"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ht="12.75" thickBot="1"/>
    <row r="3" spans="1:16" ht="68.25" thickBot="1">
      <c r="A3" s="2"/>
      <c r="B3" s="3" t="s">
        <v>1</v>
      </c>
      <c r="C3" s="4" t="s">
        <v>2</v>
      </c>
      <c r="D3" s="4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6" t="s">
        <v>12</v>
      </c>
      <c r="N3" s="70" t="s">
        <v>340</v>
      </c>
      <c r="O3" s="79" t="s">
        <v>341</v>
      </c>
      <c r="P3" s="58"/>
    </row>
    <row r="4" spans="2:16" ht="19.5" customHeight="1" thickBot="1">
      <c r="B4" s="196" t="s">
        <v>334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7"/>
      <c r="N4" s="74"/>
      <c r="O4" s="37"/>
      <c r="P4" s="58"/>
    </row>
    <row r="5" spans="2:16" ht="19.5" customHeight="1">
      <c r="B5" s="196" t="s">
        <v>13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7"/>
      <c r="N5" s="74"/>
      <c r="O5" s="37"/>
      <c r="P5" s="58"/>
    </row>
    <row r="6" spans="2:16" ht="12">
      <c r="B6" s="7">
        <v>1</v>
      </c>
      <c r="C6" s="8" t="s">
        <v>14</v>
      </c>
      <c r="D6" s="8" t="s">
        <v>15</v>
      </c>
      <c r="E6" s="9">
        <v>0.25</v>
      </c>
      <c r="F6" s="9">
        <v>1</v>
      </c>
      <c r="G6" s="10">
        <f>4129.831745*E6*F6</f>
        <v>1032.45793625</v>
      </c>
      <c r="H6" s="10">
        <f>36014.7796925*E6*F6</f>
        <v>9003.694923125</v>
      </c>
      <c r="I6" s="10">
        <f>0*E6*F6</f>
        <v>0</v>
      </c>
      <c r="J6" s="10">
        <f>3464.928834055*E6*F6</f>
        <v>866.23220851375</v>
      </c>
      <c r="K6" s="10">
        <f>1526.3339095044*E6*F6</f>
        <v>381.5834773761</v>
      </c>
      <c r="L6" s="10"/>
      <c r="M6" s="35">
        <f aca="true" t="shared" si="0" ref="M6:M12">SUM(G6:L6)</f>
        <v>11283.96854526485</v>
      </c>
      <c r="N6" s="75">
        <f aca="true" t="shared" si="1" ref="N6:N36">M6/12/3193</f>
        <v>0.29449756094751145</v>
      </c>
      <c r="O6" s="71">
        <f aca="true" t="shared" si="2" ref="O6:O12">N6*1.18</f>
        <v>0.3475071219180635</v>
      </c>
      <c r="P6" s="188">
        <f>SUM(O6:O12)</f>
        <v>2.358152796048279</v>
      </c>
    </row>
    <row r="7" spans="2:16" ht="36">
      <c r="B7" s="7">
        <v>2</v>
      </c>
      <c r="C7" s="8" t="s">
        <v>16</v>
      </c>
      <c r="D7" s="8" t="s">
        <v>17</v>
      </c>
      <c r="E7" s="9">
        <v>0.01</v>
      </c>
      <c r="F7" s="9">
        <v>1</v>
      </c>
      <c r="G7" s="10">
        <f>7228.9698*E7*F7</f>
        <v>72.289698</v>
      </c>
      <c r="H7" s="10">
        <f>8184.5063755*E7*F7</f>
        <v>81.845063755</v>
      </c>
      <c r="I7" s="10">
        <f>0*E7*F7</f>
        <v>0</v>
      </c>
      <c r="J7" s="10">
        <f>6065.1056622*E7*F7</f>
        <v>60.651056622</v>
      </c>
      <c r="K7" s="10">
        <f>751.7503643195*E7*F7</f>
        <v>7.517503643195</v>
      </c>
      <c r="L7" s="10"/>
      <c r="M7" s="35">
        <f t="shared" si="0"/>
        <v>222.303322020195</v>
      </c>
      <c r="N7" s="75">
        <f t="shared" si="1"/>
        <v>0.005801840537117522</v>
      </c>
      <c r="O7" s="71">
        <f t="shared" si="2"/>
        <v>0.006846171833798676</v>
      </c>
      <c r="P7" s="189"/>
    </row>
    <row r="8" spans="2:16" ht="36">
      <c r="B8" s="7">
        <v>3</v>
      </c>
      <c r="C8" s="8" t="s">
        <v>18</v>
      </c>
      <c r="D8" s="8" t="s">
        <v>19</v>
      </c>
      <c r="E8" s="23">
        <v>0.95</v>
      </c>
      <c r="F8" s="9">
        <v>1</v>
      </c>
      <c r="G8" s="10">
        <f>17034.9075*E8*F8</f>
        <v>16183.162125</v>
      </c>
      <c r="H8" s="10">
        <f>7815.316908*E8*F8</f>
        <v>7424.5510626</v>
      </c>
      <c r="I8" s="10">
        <f>242.140752*E8*F8</f>
        <v>230.03371439999998</v>
      </c>
      <c r="J8" s="10">
        <f>14371.321877124*E8*F8</f>
        <v>13652.7557832678</v>
      </c>
      <c r="K8" s="10">
        <f>1381.2290462993*E8*F8</f>
        <v>1312.167593984335</v>
      </c>
      <c r="L8" s="10"/>
      <c r="M8" s="68">
        <f t="shared" si="0"/>
        <v>38802.67027925213</v>
      </c>
      <c r="N8" s="75">
        <f t="shared" si="1"/>
        <v>1.012701489697571</v>
      </c>
      <c r="O8" s="71">
        <f t="shared" si="2"/>
        <v>1.1949877578431338</v>
      </c>
      <c r="P8" s="189"/>
    </row>
    <row r="9" spans="2:16" ht="24">
      <c r="B9" s="7">
        <v>5</v>
      </c>
      <c r="C9" s="8" t="s">
        <v>22</v>
      </c>
      <c r="D9" s="8" t="s">
        <v>23</v>
      </c>
      <c r="E9" s="9">
        <v>0.95</v>
      </c>
      <c r="F9" s="9">
        <v>1</v>
      </c>
      <c r="G9" s="10">
        <f>1385.2254*E9*F9</f>
        <v>1315.96413</v>
      </c>
      <c r="H9" s="10">
        <f>368.5874346*E9*F9</f>
        <v>350.15806287</v>
      </c>
      <c r="I9" s="10">
        <f>0*E9*F9</f>
        <v>0</v>
      </c>
      <c r="J9" s="10">
        <f>1162.2041106*E9*F9</f>
        <v>1104.09390507</v>
      </c>
      <c r="K9" s="10">
        <f>102.060593082*E9*F9</f>
        <v>96.9575634279</v>
      </c>
      <c r="L9" s="10"/>
      <c r="M9" s="35">
        <f t="shared" si="0"/>
        <v>2867.1736613679</v>
      </c>
      <c r="N9" s="75">
        <f t="shared" si="1"/>
        <v>0.07482967066937833</v>
      </c>
      <c r="O9" s="71">
        <f t="shared" si="2"/>
        <v>0.08829901138986643</v>
      </c>
      <c r="P9" s="189"/>
    </row>
    <row r="10" spans="2:16" ht="24">
      <c r="B10" s="7">
        <v>6</v>
      </c>
      <c r="C10" s="8" t="s">
        <v>24</v>
      </c>
      <c r="D10" s="8" t="s">
        <v>23</v>
      </c>
      <c r="E10" s="9">
        <v>0.6</v>
      </c>
      <c r="F10" s="9">
        <v>1</v>
      </c>
      <c r="G10" s="10">
        <f>1385.2254*E10*F10</f>
        <v>831.13524</v>
      </c>
      <c r="H10" s="10">
        <f>1227.194445594*E10*F10</f>
        <v>736.3166673564</v>
      </c>
      <c r="I10" s="10">
        <f>0*E10*F10</f>
        <v>0</v>
      </c>
      <c r="J10" s="10">
        <f>1162.2041106*E10*F10</f>
        <v>697.3224663599999</v>
      </c>
      <c r="K10" s="10">
        <f>132.11183846679*E10*F10</f>
        <v>79.267103080074</v>
      </c>
      <c r="L10" s="10"/>
      <c r="M10" s="35">
        <f t="shared" si="0"/>
        <v>2344.041476796474</v>
      </c>
      <c r="N10" s="75">
        <f t="shared" si="1"/>
        <v>0.061176570539630284</v>
      </c>
      <c r="O10" s="71">
        <f t="shared" si="2"/>
        <v>0.07218835323676373</v>
      </c>
      <c r="P10" s="189"/>
    </row>
    <row r="11" spans="2:16" ht="12">
      <c r="B11" s="7">
        <v>7</v>
      </c>
      <c r="C11" s="8" t="s">
        <v>25</v>
      </c>
      <c r="D11" s="8" t="s">
        <v>26</v>
      </c>
      <c r="E11" s="9">
        <v>0.03</v>
      </c>
      <c r="F11" s="9">
        <v>1</v>
      </c>
      <c r="G11" s="10">
        <f>131231.88*E11*F11</f>
        <v>3936.9564</v>
      </c>
      <c r="H11" s="10">
        <f>26299.880559183*E11*F11</f>
        <v>788.9964167754899</v>
      </c>
      <c r="I11" s="10">
        <f>0*E11*F11</f>
        <v>0</v>
      </c>
      <c r="J11" s="10">
        <f>110103.54732*E11*F11</f>
        <v>3303.1064195999998</v>
      </c>
      <c r="K11" s="10">
        <f>9367.2357757714*E11*F11</f>
        <v>281.017073273142</v>
      </c>
      <c r="L11" s="10"/>
      <c r="M11" s="35">
        <f t="shared" si="0"/>
        <v>8310.076309648632</v>
      </c>
      <c r="N11" s="75">
        <f t="shared" si="1"/>
        <v>0.2168826680668293</v>
      </c>
      <c r="O11" s="71">
        <f t="shared" si="2"/>
        <v>0.25592154831885855</v>
      </c>
      <c r="P11" s="189"/>
    </row>
    <row r="12" spans="2:16" ht="12">
      <c r="B12" s="7">
        <v>8</v>
      </c>
      <c r="C12" s="8" t="s">
        <v>27</v>
      </c>
      <c r="D12" s="8" t="s">
        <v>28</v>
      </c>
      <c r="E12" s="9">
        <v>0.7</v>
      </c>
      <c r="F12" s="9">
        <v>1</v>
      </c>
      <c r="G12" s="10">
        <f>4155.6762*E12*F12</f>
        <v>2908.9733399999996</v>
      </c>
      <c r="H12" s="10">
        <f>9944.71699165*E12*F12</f>
        <v>6961.301894155</v>
      </c>
      <c r="I12" s="10">
        <f>0*E12*F12</f>
        <v>0</v>
      </c>
      <c r="J12" s="10">
        <f>3486.6123318*E12*F12</f>
        <v>2440.62863226</v>
      </c>
      <c r="K12" s="10">
        <f>615.54519332075*E12*F12</f>
        <v>430.88163532452495</v>
      </c>
      <c r="L12" s="10"/>
      <c r="M12" s="35">
        <f t="shared" si="0"/>
        <v>12741.785501739525</v>
      </c>
      <c r="N12" s="75">
        <f t="shared" si="1"/>
        <v>0.3325447724642323</v>
      </c>
      <c r="O12" s="71">
        <f t="shared" si="2"/>
        <v>0.3924028315077941</v>
      </c>
      <c r="P12" s="189"/>
    </row>
    <row r="13" spans="2:16" ht="18.75" customHeight="1">
      <c r="B13" s="7"/>
      <c r="C13" s="24" t="s">
        <v>344</v>
      </c>
      <c r="D13" s="62"/>
      <c r="E13" s="63"/>
      <c r="F13" s="63"/>
      <c r="G13" s="64">
        <f aca="true" t="shared" si="3" ref="G13:M13">SUM(G6:G12)</f>
        <v>26280.93886925</v>
      </c>
      <c r="H13" s="64">
        <f t="shared" si="3"/>
        <v>25346.86409063689</v>
      </c>
      <c r="I13" s="64">
        <f t="shared" si="3"/>
        <v>230.03371439999998</v>
      </c>
      <c r="J13" s="64">
        <f t="shared" si="3"/>
        <v>22124.790471693548</v>
      </c>
      <c r="K13" s="64">
        <f t="shared" si="3"/>
        <v>2589.3919501092714</v>
      </c>
      <c r="L13" s="64">
        <f t="shared" si="3"/>
        <v>0</v>
      </c>
      <c r="M13" s="69">
        <f t="shared" si="3"/>
        <v>76572.01909608972</v>
      </c>
      <c r="N13" s="76"/>
      <c r="O13" s="72"/>
      <c r="P13" s="58"/>
    </row>
    <row r="14" spans="2:16" ht="15.75">
      <c r="B14" s="184" t="s">
        <v>29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5"/>
      <c r="N14" s="75"/>
      <c r="O14" s="71"/>
      <c r="P14" s="58"/>
    </row>
    <row r="15" spans="2:16" ht="36">
      <c r="B15" s="7">
        <v>9</v>
      </c>
      <c r="C15" s="8" t="s">
        <v>30</v>
      </c>
      <c r="D15" s="8" t="s">
        <v>31</v>
      </c>
      <c r="E15" s="9">
        <v>0.21</v>
      </c>
      <c r="F15" s="9">
        <v>1</v>
      </c>
      <c r="G15" s="10">
        <f>10141.448265*E15*F15</f>
        <v>2129.70413565</v>
      </c>
      <c r="H15" s="10">
        <f>5812.36374558*E15*F15</f>
        <v>1220.5963865718</v>
      </c>
      <c r="I15" s="10">
        <f aca="true" t="shared" si="4" ref="I15:I23">0*E15*F15</f>
        <v>0</v>
      </c>
      <c r="J15" s="10">
        <f>8508.675094335*E15*F15</f>
        <v>1786.82176981035</v>
      </c>
      <c r="K15" s="10">
        <f>856.18704867203*E15*F15</f>
        <v>179.79928022112628</v>
      </c>
      <c r="L15" s="10"/>
      <c r="M15" s="35">
        <f aca="true" t="shared" si="5" ref="M15:M23">SUM(G15:L15)</f>
        <v>5316.921572253276</v>
      </c>
      <c r="N15" s="75">
        <f t="shared" si="1"/>
        <v>0.1387650478195343</v>
      </c>
      <c r="O15" s="71">
        <f aca="true" t="shared" si="6" ref="O15:O23">N15*1.18</f>
        <v>0.16374275642705047</v>
      </c>
      <c r="P15" s="188">
        <f>SUM(O15:O23)</f>
        <v>1.098129182699675</v>
      </c>
    </row>
    <row r="16" spans="2:16" ht="36">
      <c r="B16" s="7">
        <v>10</v>
      </c>
      <c r="C16" s="8" t="s">
        <v>32</v>
      </c>
      <c r="D16" s="8" t="s">
        <v>31</v>
      </c>
      <c r="E16" s="9">
        <v>0.125</v>
      </c>
      <c r="F16" s="9">
        <v>1</v>
      </c>
      <c r="G16" s="10">
        <f>10334.51055*E16*F16</f>
        <v>1291.81381875</v>
      </c>
      <c r="H16" s="10">
        <f>13717.873561028*E16*F16</f>
        <v>1714.7341951285</v>
      </c>
      <c r="I16" s="10">
        <f t="shared" si="4"/>
        <v>0</v>
      </c>
      <c r="J16" s="10">
        <f>8670.65435145*E16*F16</f>
        <v>1083.83179393125</v>
      </c>
      <c r="K16" s="10">
        <f>1145.3063461867*E16*F16</f>
        <v>143.1632932733375</v>
      </c>
      <c r="L16" s="10"/>
      <c r="M16" s="35">
        <f t="shared" si="5"/>
        <v>4233.543101083088</v>
      </c>
      <c r="N16" s="75">
        <f t="shared" si="1"/>
        <v>0.11049021560400585</v>
      </c>
      <c r="O16" s="71">
        <f t="shared" si="6"/>
        <v>0.13037845441272689</v>
      </c>
      <c r="P16" s="189"/>
    </row>
    <row r="17" spans="2:16" ht="24">
      <c r="B17" s="7">
        <v>11</v>
      </c>
      <c r="C17" s="8" t="s">
        <v>33</v>
      </c>
      <c r="D17" s="8" t="s">
        <v>31</v>
      </c>
      <c r="E17" s="9">
        <v>0.08</v>
      </c>
      <c r="F17" s="9">
        <v>1</v>
      </c>
      <c r="G17" s="10">
        <f>7381.79325*E17*F17</f>
        <v>590.54346</v>
      </c>
      <c r="H17" s="10">
        <f>20387.76696558*E17*F17</f>
        <v>1631.0213572464</v>
      </c>
      <c r="I17" s="10">
        <f t="shared" si="4"/>
        <v>0</v>
      </c>
      <c r="J17" s="10">
        <f>6193.32453675*E17*F17</f>
        <v>495.46596294000005</v>
      </c>
      <c r="K17" s="10">
        <f>1188.7009663315*E17*F17</f>
        <v>95.09607730652</v>
      </c>
      <c r="L17" s="10"/>
      <c r="M17" s="35">
        <f t="shared" si="5"/>
        <v>2812.12685749292</v>
      </c>
      <c r="N17" s="75">
        <f t="shared" si="1"/>
        <v>0.0733930174729335</v>
      </c>
      <c r="O17" s="71">
        <f t="shared" si="6"/>
        <v>0.08660376061806153</v>
      </c>
      <c r="P17" s="189"/>
    </row>
    <row r="18" spans="2:16" ht="24">
      <c r="B18" s="7">
        <v>12</v>
      </c>
      <c r="C18" s="8" t="s">
        <v>34</v>
      </c>
      <c r="D18" s="8" t="s">
        <v>31</v>
      </c>
      <c r="E18" s="9">
        <v>0.122</v>
      </c>
      <c r="F18" s="9">
        <v>1</v>
      </c>
      <c r="G18" s="10">
        <f>7949.6235*E18*F18</f>
        <v>969.854067</v>
      </c>
      <c r="H18" s="10">
        <f>25734.43696558*E18*F18</f>
        <v>3139.6013098007597</v>
      </c>
      <c r="I18" s="10">
        <f t="shared" si="4"/>
        <v>0</v>
      </c>
      <c r="J18" s="10">
        <f>6669.7341165*E18*F18</f>
        <v>813.707562213</v>
      </c>
      <c r="K18" s="10">
        <f>1412.3828103728*E18*F18</f>
        <v>172.31070286548157</v>
      </c>
      <c r="L18" s="10"/>
      <c r="M18" s="35">
        <f t="shared" si="5"/>
        <v>5095.473641879241</v>
      </c>
      <c r="N18" s="75">
        <f t="shared" si="1"/>
        <v>0.13298553194172777</v>
      </c>
      <c r="O18" s="71">
        <f t="shared" si="6"/>
        <v>0.15692292769123875</v>
      </c>
      <c r="P18" s="189"/>
    </row>
    <row r="19" spans="2:16" ht="36">
      <c r="B19" s="7">
        <v>13</v>
      </c>
      <c r="C19" s="8" t="s">
        <v>35</v>
      </c>
      <c r="D19" s="8" t="s">
        <v>36</v>
      </c>
      <c r="E19" s="9">
        <v>0.16</v>
      </c>
      <c r="F19" s="9">
        <v>1</v>
      </c>
      <c r="G19" s="10">
        <f>13745.6982*E19*F19</f>
        <v>2199.311712</v>
      </c>
      <c r="H19" s="10">
        <f>1219.58965345*E19*F19</f>
        <v>195.13434455200002</v>
      </c>
      <c r="I19" s="10">
        <f t="shared" si="4"/>
        <v>0</v>
      </c>
      <c r="J19" s="10">
        <f>11532.6407898*E19*F19</f>
        <v>1845.222526368</v>
      </c>
      <c r="K19" s="10">
        <f>927.42750251375*E19*F19</f>
        <v>148.3884004022</v>
      </c>
      <c r="L19" s="10"/>
      <c r="M19" s="35">
        <f t="shared" si="5"/>
        <v>4388.056983322201</v>
      </c>
      <c r="N19" s="75">
        <f t="shared" si="1"/>
        <v>0.1145228359777169</v>
      </c>
      <c r="O19" s="71">
        <f t="shared" si="6"/>
        <v>0.13513694645370594</v>
      </c>
      <c r="P19" s="189"/>
    </row>
    <row r="20" spans="2:16" ht="12">
      <c r="B20" s="7">
        <v>14</v>
      </c>
      <c r="C20" s="8" t="s">
        <v>37</v>
      </c>
      <c r="D20" s="8" t="s">
        <v>38</v>
      </c>
      <c r="E20" s="9">
        <v>0.5</v>
      </c>
      <c r="F20" s="9">
        <v>1</v>
      </c>
      <c r="G20" s="10">
        <f>1727.3256*E20*F20</f>
        <v>863.6628</v>
      </c>
      <c r="H20" s="10">
        <f>10355.898240954*E20*F20</f>
        <v>5177.949120477</v>
      </c>
      <c r="I20" s="10">
        <f t="shared" si="4"/>
        <v>0</v>
      </c>
      <c r="J20" s="10">
        <f>1449.2261784*E20*F20</f>
        <v>724.6130892</v>
      </c>
      <c r="K20" s="10">
        <f>473.63575067739*E20*F20</f>
        <v>236.817875338695</v>
      </c>
      <c r="L20" s="10"/>
      <c r="M20" s="35">
        <f t="shared" si="5"/>
        <v>7003.042885015695</v>
      </c>
      <c r="N20" s="75">
        <f t="shared" si="1"/>
        <v>0.1827707194126656</v>
      </c>
      <c r="O20" s="71">
        <f t="shared" si="6"/>
        <v>0.2156694489069454</v>
      </c>
      <c r="P20" s="189"/>
    </row>
    <row r="21" spans="2:16" ht="12">
      <c r="B21" s="7">
        <v>15</v>
      </c>
      <c r="C21" s="8" t="s">
        <v>39</v>
      </c>
      <c r="D21" s="8" t="s">
        <v>40</v>
      </c>
      <c r="E21" s="9">
        <v>0.01</v>
      </c>
      <c r="F21" s="9">
        <v>1</v>
      </c>
      <c r="G21" s="10">
        <f>31798.494*E21*F21</f>
        <v>317.98494</v>
      </c>
      <c r="H21" s="10">
        <f>261199.61519883*E21*F21</f>
        <v>2611.9961519883</v>
      </c>
      <c r="I21" s="10">
        <f t="shared" si="4"/>
        <v>0</v>
      </c>
      <c r="J21" s="10">
        <f>26678.936466*E21*F21</f>
        <v>266.78936466</v>
      </c>
      <c r="K21" s="10">
        <f>11188.696598269*E21*F21</f>
        <v>111.88696598269</v>
      </c>
      <c r="L21" s="10"/>
      <c r="M21" s="35">
        <f t="shared" si="5"/>
        <v>3308.65742263099</v>
      </c>
      <c r="N21" s="75">
        <f t="shared" si="1"/>
        <v>0.08635184838268582</v>
      </c>
      <c r="O21" s="71">
        <f t="shared" si="6"/>
        <v>0.10189518109156927</v>
      </c>
      <c r="P21" s="189"/>
    </row>
    <row r="22" spans="2:16" ht="24">
      <c r="B22" s="7">
        <v>16</v>
      </c>
      <c r="C22" s="8" t="s">
        <v>41</v>
      </c>
      <c r="D22" s="8" t="s">
        <v>40</v>
      </c>
      <c r="E22" s="9">
        <v>0.01</v>
      </c>
      <c r="F22" s="9">
        <v>1</v>
      </c>
      <c r="G22" s="10">
        <f>46562.0805*E22*F22</f>
        <v>465.62080499999996</v>
      </c>
      <c r="H22" s="10">
        <f>7687.24167883*E22*F22</f>
        <v>76.8724167883</v>
      </c>
      <c r="I22" s="10">
        <f t="shared" si="4"/>
        <v>0</v>
      </c>
      <c r="J22" s="10">
        <f>39065.5855395*E22*F22</f>
        <v>390.65585539500006</v>
      </c>
      <c r="K22" s="10">
        <f>3266.0217701416*E22*F22</f>
        <v>32.660217701416</v>
      </c>
      <c r="L22" s="10"/>
      <c r="M22" s="35">
        <f t="shared" si="5"/>
        <v>965.8092948847161</v>
      </c>
      <c r="N22" s="75">
        <f t="shared" si="1"/>
        <v>0.025206422770767203</v>
      </c>
      <c r="O22" s="71">
        <f t="shared" si="6"/>
        <v>0.029743578869505297</v>
      </c>
      <c r="P22" s="189"/>
    </row>
    <row r="23" spans="2:16" ht="12">
      <c r="B23" s="7">
        <v>17</v>
      </c>
      <c r="C23" s="8" t="s">
        <v>42</v>
      </c>
      <c r="D23" s="8" t="s">
        <v>43</v>
      </c>
      <c r="E23" s="9">
        <v>0.12</v>
      </c>
      <c r="F23" s="9">
        <v>1</v>
      </c>
      <c r="G23" s="10">
        <f>6561.594*E23*F23</f>
        <v>787.3912799999999</v>
      </c>
      <c r="H23" s="10">
        <f>8335.20664389*E23*F23</f>
        <v>1000.2247972668</v>
      </c>
      <c r="I23" s="10">
        <f t="shared" si="4"/>
        <v>0</v>
      </c>
      <c r="J23" s="10">
        <f>5505.177366*E23*F23</f>
        <v>660.62128392</v>
      </c>
      <c r="K23" s="10">
        <f>714.06923034615*E23*F23</f>
        <v>85.68830764153799</v>
      </c>
      <c r="L23" s="10"/>
      <c r="M23" s="35">
        <f t="shared" si="5"/>
        <v>2533.9256688283376</v>
      </c>
      <c r="N23" s="75">
        <f t="shared" si="1"/>
        <v>0.06613231205836563</v>
      </c>
      <c r="O23" s="71">
        <f t="shared" si="6"/>
        <v>0.07803612822887145</v>
      </c>
      <c r="P23" s="189"/>
    </row>
    <row r="24" spans="2:16" ht="21.75" customHeight="1">
      <c r="B24" s="7"/>
      <c r="C24" s="24" t="s">
        <v>344</v>
      </c>
      <c r="D24" s="62"/>
      <c r="E24" s="63"/>
      <c r="F24" s="63"/>
      <c r="G24" s="64">
        <f aca="true" t="shared" si="7" ref="G24:M24">SUM(G15:G23)</f>
        <v>9615.8870184</v>
      </c>
      <c r="H24" s="64">
        <f t="shared" si="7"/>
        <v>16768.130079819857</v>
      </c>
      <c r="I24" s="64">
        <f t="shared" si="7"/>
        <v>0</v>
      </c>
      <c r="J24" s="64">
        <f t="shared" si="7"/>
        <v>8067.7292084375995</v>
      </c>
      <c r="K24" s="64">
        <f t="shared" si="7"/>
        <v>1205.8111207330041</v>
      </c>
      <c r="L24" s="64">
        <f t="shared" si="7"/>
        <v>0</v>
      </c>
      <c r="M24" s="69">
        <f t="shared" si="7"/>
        <v>35657.557427390464</v>
      </c>
      <c r="N24" s="76"/>
      <c r="O24" s="72"/>
      <c r="P24" s="58"/>
    </row>
    <row r="25" spans="2:16" ht="15.75">
      <c r="B25" s="184" t="s">
        <v>44</v>
      </c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5"/>
      <c r="N25" s="75"/>
      <c r="O25" s="71"/>
      <c r="P25" s="58"/>
    </row>
    <row r="26" spans="2:16" ht="36">
      <c r="B26" s="7">
        <v>19</v>
      </c>
      <c r="C26" s="8" t="s">
        <v>47</v>
      </c>
      <c r="D26" s="8" t="s">
        <v>46</v>
      </c>
      <c r="E26" s="9">
        <v>0.21</v>
      </c>
      <c r="F26" s="9">
        <v>1</v>
      </c>
      <c r="G26" s="10">
        <f>13116.878775*E26*F26</f>
        <v>2754.54454275</v>
      </c>
      <c r="H26" s="10">
        <f>19800.660853428*E26*F26</f>
        <v>4158.138779219879</v>
      </c>
      <c r="I26" s="10">
        <f aca="true" t="shared" si="8" ref="I26:I32">0*E26*F26</f>
        <v>0</v>
      </c>
      <c r="J26" s="10">
        <f>11005.061292225*E26*F26</f>
        <v>2311.06287136725</v>
      </c>
      <c r="K26" s="10">
        <f>1537.2910322229*E26*F26</f>
        <v>322.831116766809</v>
      </c>
      <c r="L26" s="10"/>
      <c r="M26" s="35">
        <f aca="true" t="shared" si="9" ref="M26:M32">SUM(G26:L26)</f>
        <v>9546.577310103938</v>
      </c>
      <c r="N26" s="75">
        <f t="shared" si="1"/>
        <v>0.24915380807244852</v>
      </c>
      <c r="O26" s="71">
        <f aca="true" t="shared" si="10" ref="O26:O32">N26*1.18</f>
        <v>0.29400149352548927</v>
      </c>
      <c r="P26" s="188">
        <f>SUM(O26:O32)</f>
        <v>1.1518618914320902</v>
      </c>
    </row>
    <row r="27" spans="2:16" ht="36">
      <c r="B27" s="7">
        <v>20</v>
      </c>
      <c r="C27" s="8" t="s">
        <v>48</v>
      </c>
      <c r="D27" s="8" t="s">
        <v>46</v>
      </c>
      <c r="E27" s="9">
        <v>0.1</v>
      </c>
      <c r="F27" s="9">
        <v>1</v>
      </c>
      <c r="G27" s="10">
        <f>13786.91847*E27*F27</f>
        <v>1378.691847</v>
      </c>
      <c r="H27" s="10">
        <f>26517.70023252*E27*F27</f>
        <v>2651.770023252</v>
      </c>
      <c r="I27" s="10">
        <f t="shared" si="8"/>
        <v>0</v>
      </c>
      <c r="J27" s="10">
        <f>11567.22459633*E27*F27</f>
        <v>1156.722459633</v>
      </c>
      <c r="K27" s="10">
        <f>1815.5145154598*E27*F27</f>
        <v>181.55145154598</v>
      </c>
      <c r="L27" s="10"/>
      <c r="M27" s="35">
        <f t="shared" si="9"/>
        <v>5368.73578143098</v>
      </c>
      <c r="N27" s="75">
        <f t="shared" si="1"/>
        <v>0.1401173343102354</v>
      </c>
      <c r="O27" s="71">
        <f t="shared" si="10"/>
        <v>0.16533845448607776</v>
      </c>
      <c r="P27" s="189"/>
    </row>
    <row r="28" spans="2:16" ht="36">
      <c r="B28" s="7">
        <v>21</v>
      </c>
      <c r="C28" s="8" t="s">
        <v>49</v>
      </c>
      <c r="D28" s="8" t="s">
        <v>46</v>
      </c>
      <c r="E28" s="9">
        <v>0.1</v>
      </c>
      <c r="F28" s="9">
        <v>1</v>
      </c>
      <c r="G28" s="10">
        <f>15320.060145*E28*F28</f>
        <v>1532.0060145</v>
      </c>
      <c r="H28" s="10">
        <f>27484.52637588*E28*F28</f>
        <v>2748.452637588</v>
      </c>
      <c r="I28" s="10">
        <f t="shared" si="8"/>
        <v>0</v>
      </c>
      <c r="J28" s="10">
        <f>12853.530461655*E28*F28</f>
        <v>1285.3530461655</v>
      </c>
      <c r="K28" s="10">
        <f>1948.0340943887*E28*F28</f>
        <v>194.80340943887</v>
      </c>
      <c r="L28" s="10"/>
      <c r="M28" s="35">
        <f t="shared" si="9"/>
        <v>5760.615107692371</v>
      </c>
      <c r="N28" s="75">
        <f t="shared" si="1"/>
        <v>0.15034489789363112</v>
      </c>
      <c r="O28" s="71">
        <f t="shared" si="10"/>
        <v>0.1774069795144847</v>
      </c>
      <c r="P28" s="189"/>
    </row>
    <row r="29" spans="2:16" ht="36">
      <c r="B29" s="7">
        <v>22</v>
      </c>
      <c r="C29" s="8" t="s">
        <v>50</v>
      </c>
      <c r="D29" s="8" t="s">
        <v>46</v>
      </c>
      <c r="E29" s="9">
        <v>0.06</v>
      </c>
      <c r="F29" s="9">
        <v>1</v>
      </c>
      <c r="G29" s="10">
        <f>19851.34554*E29*F29</f>
        <v>1191.0807323999998</v>
      </c>
      <c r="H29" s="10">
        <f>45073.8836604*E29*F29</f>
        <v>2704.433019624</v>
      </c>
      <c r="I29" s="10">
        <f t="shared" si="8"/>
        <v>0</v>
      </c>
      <c r="J29" s="10">
        <f>16655.27890806*E29*F29</f>
        <v>999.3167344836</v>
      </c>
      <c r="K29" s="10">
        <f>2855.3177837961*E29*F29</f>
        <v>171.31906702776598</v>
      </c>
      <c r="L29" s="10"/>
      <c r="M29" s="35">
        <f t="shared" si="9"/>
        <v>5066.149553535366</v>
      </c>
      <c r="N29" s="75">
        <f t="shared" si="1"/>
        <v>0.132220209665293</v>
      </c>
      <c r="O29" s="71">
        <f t="shared" si="10"/>
        <v>0.15601984740504574</v>
      </c>
      <c r="P29" s="189"/>
    </row>
    <row r="30" spans="2:16" ht="36">
      <c r="B30" s="7">
        <v>23</v>
      </c>
      <c r="C30" s="8" t="s">
        <v>51</v>
      </c>
      <c r="D30" s="8" t="s">
        <v>52</v>
      </c>
      <c r="E30" s="9">
        <v>0.05</v>
      </c>
      <c r="F30" s="9">
        <v>6</v>
      </c>
      <c r="G30" s="10">
        <f>4150.068*E30*F30</f>
        <v>1245.0204</v>
      </c>
      <c r="H30" s="10">
        <f>13590.349304*E30*F30</f>
        <v>4077.1047912000004</v>
      </c>
      <c r="I30" s="10">
        <f t="shared" si="8"/>
        <v>0</v>
      </c>
      <c r="J30" s="10">
        <f>3481.907052*E30*F30</f>
        <v>1044.5721156</v>
      </c>
      <c r="K30" s="10">
        <f>742.78135246*E30*F30</f>
        <v>222.83440573800002</v>
      </c>
      <c r="L30" s="10"/>
      <c r="M30" s="35">
        <f t="shared" si="9"/>
        <v>6589.531712538001</v>
      </c>
      <c r="N30" s="75">
        <f t="shared" si="1"/>
        <v>0.17197859151628564</v>
      </c>
      <c r="O30" s="71">
        <f t="shared" si="10"/>
        <v>0.20293473798921705</v>
      </c>
      <c r="P30" s="189"/>
    </row>
    <row r="31" spans="2:16" ht="24">
      <c r="B31" s="7">
        <v>24</v>
      </c>
      <c r="C31" s="8" t="s">
        <v>53</v>
      </c>
      <c r="D31" s="8" t="s">
        <v>17</v>
      </c>
      <c r="E31" s="9">
        <v>0.08</v>
      </c>
      <c r="F31" s="9">
        <v>1</v>
      </c>
      <c r="G31" s="10">
        <f>12274.94775*E31*F31</f>
        <v>981.99582</v>
      </c>
      <c r="H31" s="10">
        <f>16270.42052748*E31*F31</f>
        <v>1301.6336421984001</v>
      </c>
      <c r="I31" s="10">
        <f t="shared" si="8"/>
        <v>0</v>
      </c>
      <c r="J31" s="10">
        <f>10298.68116225*E31*F31</f>
        <v>823.8944929800001</v>
      </c>
      <c r="K31" s="10">
        <f>1359.5417303906*E31*F31</f>
        <v>108.763338431248</v>
      </c>
      <c r="L31" s="10"/>
      <c r="M31" s="35">
        <f t="shared" si="9"/>
        <v>3216.2872936096483</v>
      </c>
      <c r="N31" s="75">
        <f t="shared" si="1"/>
        <v>0.08394110276672014</v>
      </c>
      <c r="O31" s="71">
        <f t="shared" si="10"/>
        <v>0.09905050126472975</v>
      </c>
      <c r="P31" s="189"/>
    </row>
    <row r="32" spans="2:16" ht="12">
      <c r="B32" s="7">
        <v>25</v>
      </c>
      <c r="C32" s="8" t="s">
        <v>54</v>
      </c>
      <c r="D32" s="8" t="s">
        <v>17</v>
      </c>
      <c r="E32" s="9">
        <v>0.005</v>
      </c>
      <c r="F32" s="9">
        <v>1</v>
      </c>
      <c r="G32" s="10">
        <f>50291.5335*E32*F32</f>
        <v>251.45766749999999</v>
      </c>
      <c r="H32" s="10">
        <f>265856.956211*E32*F32</f>
        <v>1329.284781055</v>
      </c>
      <c r="I32" s="10">
        <f t="shared" si="8"/>
        <v>0</v>
      </c>
      <c r="J32" s="10">
        <f>42194.5966065*E32*F32</f>
        <v>210.97298303250003</v>
      </c>
      <c r="K32" s="10">
        <f>12542.008021113*E32*F32</f>
        <v>62.71004010556501</v>
      </c>
      <c r="L32" s="10"/>
      <c r="M32" s="35">
        <f t="shared" si="9"/>
        <v>1854.425471693065</v>
      </c>
      <c r="N32" s="75">
        <f t="shared" si="1"/>
        <v>0.0483982010568187</v>
      </c>
      <c r="O32" s="71">
        <f t="shared" si="10"/>
        <v>0.05710987724704606</v>
      </c>
      <c r="P32" s="189"/>
    </row>
    <row r="33" spans="2:16" ht="14.25" customHeight="1">
      <c r="B33" s="7"/>
      <c r="C33" s="24" t="s">
        <v>344</v>
      </c>
      <c r="D33" s="62"/>
      <c r="E33" s="63"/>
      <c r="F33" s="63"/>
      <c r="G33" s="64">
        <f aca="true" t="shared" si="11" ref="G33:M33">SUM(G26:G32)</f>
        <v>9334.79702415</v>
      </c>
      <c r="H33" s="64">
        <f t="shared" si="11"/>
        <v>18970.81767413728</v>
      </c>
      <c r="I33" s="64">
        <f t="shared" si="11"/>
        <v>0</v>
      </c>
      <c r="J33" s="64">
        <f t="shared" si="11"/>
        <v>7831.894703261851</v>
      </c>
      <c r="K33" s="64">
        <f t="shared" si="11"/>
        <v>1264.8128290542381</v>
      </c>
      <c r="L33" s="64">
        <f t="shared" si="11"/>
        <v>0</v>
      </c>
      <c r="M33" s="69">
        <f t="shared" si="11"/>
        <v>37402.32223060337</v>
      </c>
      <c r="N33" s="76"/>
      <c r="O33" s="72"/>
      <c r="P33" s="58"/>
    </row>
    <row r="34" spans="2:16" ht="12.75" customHeight="1">
      <c r="B34" s="7"/>
      <c r="C34" s="194" t="s">
        <v>55</v>
      </c>
      <c r="D34" s="194"/>
      <c r="E34" s="194"/>
      <c r="F34" s="194"/>
      <c r="G34" s="194"/>
      <c r="H34" s="194"/>
      <c r="I34" s="194"/>
      <c r="J34" s="194"/>
      <c r="K34" s="194"/>
      <c r="L34" s="194"/>
      <c r="M34" s="195"/>
      <c r="N34" s="75"/>
      <c r="O34" s="71"/>
      <c r="P34" s="58"/>
    </row>
    <row r="35" spans="2:16" ht="36">
      <c r="B35" s="7">
        <v>26</v>
      </c>
      <c r="C35" s="8" t="s">
        <v>56</v>
      </c>
      <c r="D35" s="8" t="s">
        <v>46</v>
      </c>
      <c r="E35" s="9">
        <v>0.1</v>
      </c>
      <c r="F35" s="9">
        <v>1</v>
      </c>
      <c r="G35" s="10">
        <f>7478.34776*E35*F35</f>
        <v>747.834776</v>
      </c>
      <c r="H35" s="10">
        <f>21244.517364*E35*F35</f>
        <v>2124.4517364</v>
      </c>
      <c r="I35" s="10">
        <f>0*E35*F35</f>
        <v>0</v>
      </c>
      <c r="J35" s="10">
        <f>6274.33377064*E35*F35</f>
        <v>627.4333770640001</v>
      </c>
      <c r="K35" s="10">
        <f>1224.9019613124*E35*F35</f>
        <v>122.49019613124001</v>
      </c>
      <c r="L35" s="10"/>
      <c r="M35" s="35">
        <f>SUM(G35:L35)</f>
        <v>3622.21008559524</v>
      </c>
      <c r="N35" s="75">
        <f t="shared" si="1"/>
        <v>0.09453518335930786</v>
      </c>
      <c r="O35" s="71">
        <f>N35*1.18</f>
        <v>0.11155151636398326</v>
      </c>
      <c r="P35" s="188">
        <f>SUM(O35:O36)</f>
        <v>0.1973379162111274</v>
      </c>
    </row>
    <row r="36" spans="2:16" ht="36">
      <c r="B36" s="7">
        <v>27</v>
      </c>
      <c r="C36" s="8" t="s">
        <v>57</v>
      </c>
      <c r="D36" s="8" t="s">
        <v>46</v>
      </c>
      <c r="E36" s="9">
        <v>0.1</v>
      </c>
      <c r="F36" s="9">
        <v>1</v>
      </c>
      <c r="G36" s="10">
        <f>7926.53641*E36*F36</f>
        <v>792.653641</v>
      </c>
      <c r="H36" s="10">
        <f>12336.9757112*E36*F36</f>
        <v>1233.6975711200002</v>
      </c>
      <c r="I36" s="10">
        <f>0*E36*F36</f>
        <v>0</v>
      </c>
      <c r="J36" s="10">
        <f>6650.36404799*E36*F36</f>
        <v>665.036404799</v>
      </c>
      <c r="K36" s="10">
        <f>941.98566592165*E36*F36</f>
        <v>94.19856659216501</v>
      </c>
      <c r="L36" s="10"/>
      <c r="M36" s="35">
        <f>SUM(G36:L36)</f>
        <v>2785.5861835111655</v>
      </c>
      <c r="N36" s="75">
        <f t="shared" si="1"/>
        <v>0.07270033885351199</v>
      </c>
      <c r="O36" s="71">
        <f>N36*1.18</f>
        <v>0.08578639984714415</v>
      </c>
      <c r="P36" s="189"/>
    </row>
    <row r="37" spans="2:16" ht="15" customHeight="1">
      <c r="B37" s="7"/>
      <c r="C37" s="24" t="s">
        <v>344</v>
      </c>
      <c r="D37" s="62"/>
      <c r="E37" s="63"/>
      <c r="F37" s="63"/>
      <c r="G37" s="64">
        <f aca="true" t="shared" si="12" ref="G37:M37">SUM(G35:G36)</f>
        <v>1540.488417</v>
      </c>
      <c r="H37" s="64">
        <f t="shared" si="12"/>
        <v>3358.14930752</v>
      </c>
      <c r="I37" s="64">
        <f t="shared" si="12"/>
        <v>0</v>
      </c>
      <c r="J37" s="64">
        <f t="shared" si="12"/>
        <v>1292.4697818630002</v>
      </c>
      <c r="K37" s="64">
        <f t="shared" si="12"/>
        <v>216.68876272340503</v>
      </c>
      <c r="L37" s="64">
        <f t="shared" si="12"/>
        <v>0</v>
      </c>
      <c r="M37" s="69">
        <f t="shared" si="12"/>
        <v>6407.796269106406</v>
      </c>
      <c r="N37" s="76"/>
      <c r="O37" s="72"/>
      <c r="P37" s="58"/>
    </row>
    <row r="38" spans="2:16" ht="15.75">
      <c r="B38" s="184" t="s">
        <v>58</v>
      </c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5"/>
      <c r="N38" s="75"/>
      <c r="O38" s="71"/>
      <c r="P38" s="58"/>
    </row>
    <row r="39" spans="2:16" ht="12">
      <c r="B39" s="7">
        <v>28</v>
      </c>
      <c r="C39" s="8" t="s">
        <v>59</v>
      </c>
      <c r="D39" s="8" t="s">
        <v>60</v>
      </c>
      <c r="E39" s="9">
        <v>4</v>
      </c>
      <c r="F39" s="9">
        <v>1</v>
      </c>
      <c r="G39" s="10">
        <f>8.97312*E39*F39</f>
        <v>35.89248</v>
      </c>
      <c r="H39" s="10">
        <f>856.7643*E39*F39</f>
        <v>3427.0572</v>
      </c>
      <c r="I39" s="10">
        <f>0*E39*F39</f>
        <v>0</v>
      </c>
      <c r="J39" s="10">
        <f>7.52844768*E39*F39</f>
        <v>30.11379072</v>
      </c>
      <c r="K39" s="10">
        <f>30.5643053688*E39*F39</f>
        <v>122.2572214752</v>
      </c>
      <c r="L39" s="10"/>
      <c r="M39" s="35">
        <f>SUM(G39:L39)</f>
        <v>3615.3206921952</v>
      </c>
      <c r="N39" s="75">
        <f aca="true" t="shared" si="13" ref="N39:N68">M39/12/3193</f>
        <v>0.0943553787502662</v>
      </c>
      <c r="O39" s="71">
        <f>N39*1.18</f>
        <v>0.11133934692531411</v>
      </c>
      <c r="P39" s="188">
        <f>SUM(O39:O41)</f>
        <v>0.21761371374369945</v>
      </c>
    </row>
    <row r="40" spans="2:16" ht="12">
      <c r="B40" s="7">
        <v>29</v>
      </c>
      <c r="C40" s="8" t="s">
        <v>61</v>
      </c>
      <c r="D40" s="8" t="s">
        <v>62</v>
      </c>
      <c r="E40" s="9">
        <v>0.03</v>
      </c>
      <c r="F40" s="9">
        <v>1</v>
      </c>
      <c r="G40" s="10">
        <f>22432.8*E40*F40</f>
        <v>672.9839999999999</v>
      </c>
      <c r="H40" s="10">
        <f>29909.1502362*E40*F40</f>
        <v>897.274507086</v>
      </c>
      <c r="I40" s="10">
        <f>0*E40*F40</f>
        <v>0</v>
      </c>
      <c r="J40" s="10">
        <f>18821.1192*E40*F40</f>
        <v>564.6335760000001</v>
      </c>
      <c r="K40" s="10">
        <f>2490.707430267*E40*F40</f>
        <v>74.72122290800999</v>
      </c>
      <c r="L40" s="10"/>
      <c r="M40" s="35">
        <f>SUM(G40:L40)</f>
        <v>2209.6133059940103</v>
      </c>
      <c r="N40" s="75">
        <f t="shared" si="13"/>
        <v>0.05766816228191905</v>
      </c>
      <c r="O40" s="71">
        <f>N40*1.18</f>
        <v>0.06804843149266449</v>
      </c>
      <c r="P40" s="189"/>
    </row>
    <row r="41" spans="2:16" ht="12">
      <c r="B41" s="7">
        <v>30</v>
      </c>
      <c r="C41" s="8" t="s">
        <v>63</v>
      </c>
      <c r="D41" s="8" t="s">
        <v>64</v>
      </c>
      <c r="E41" s="9">
        <v>4</v>
      </c>
      <c r="F41" s="9">
        <v>1</v>
      </c>
      <c r="G41" s="10">
        <f>152.683245*E41*F41</f>
        <v>610.73298</v>
      </c>
      <c r="H41" s="10">
        <f>19.032293322*E41*F41</f>
        <v>76.129173288</v>
      </c>
      <c r="I41" s="10">
        <f>0*E41*F41</f>
        <v>0</v>
      </c>
      <c r="J41" s="10">
        <f>128.101242555*E41*F41</f>
        <v>512.40497022</v>
      </c>
      <c r="K41" s="10">
        <f>10.493587330695*E41*F41</f>
        <v>41.97434932278</v>
      </c>
      <c r="L41" s="10"/>
      <c r="M41" s="35">
        <f>SUM(G41:L41)</f>
        <v>1241.24147283078</v>
      </c>
      <c r="N41" s="75">
        <f t="shared" si="13"/>
        <v>0.03239486044552615</v>
      </c>
      <c r="O41" s="71">
        <f>N41*1.18</f>
        <v>0.038225935325720856</v>
      </c>
      <c r="P41" s="189"/>
    </row>
    <row r="42" spans="2:16" ht="15" customHeight="1">
      <c r="B42" s="7"/>
      <c r="C42" s="63" t="s">
        <v>344</v>
      </c>
      <c r="D42" s="62"/>
      <c r="E42" s="63"/>
      <c r="F42" s="63"/>
      <c r="G42" s="64">
        <f aca="true" t="shared" si="14" ref="G42:M42">SUM(G39:G41)</f>
        <v>1319.60946</v>
      </c>
      <c r="H42" s="64">
        <f t="shared" si="14"/>
        <v>4400.460880374</v>
      </c>
      <c r="I42" s="64">
        <f t="shared" si="14"/>
        <v>0</v>
      </c>
      <c r="J42" s="64">
        <f t="shared" si="14"/>
        <v>1107.1523369400002</v>
      </c>
      <c r="K42" s="64">
        <f t="shared" si="14"/>
        <v>238.95279370599</v>
      </c>
      <c r="L42" s="64">
        <f t="shared" si="14"/>
        <v>0</v>
      </c>
      <c r="M42" s="69">
        <f t="shared" si="14"/>
        <v>7066.175471019989</v>
      </c>
      <c r="N42" s="76"/>
      <c r="O42" s="72"/>
      <c r="P42" s="58"/>
    </row>
    <row r="43" spans="2:16" ht="12">
      <c r="B43" s="7"/>
      <c r="C43" s="8"/>
      <c r="D43" s="8"/>
      <c r="E43" s="9"/>
      <c r="F43" s="9"/>
      <c r="G43" s="10"/>
      <c r="H43" s="10"/>
      <c r="I43" s="10"/>
      <c r="J43" s="10"/>
      <c r="K43" s="10"/>
      <c r="L43" s="10"/>
      <c r="M43" s="35"/>
      <c r="N43" s="75"/>
      <c r="O43" s="71"/>
      <c r="P43" s="58"/>
    </row>
    <row r="44" spans="2:16" ht="15.75">
      <c r="B44" s="184" t="s">
        <v>65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5"/>
      <c r="N44" s="75"/>
      <c r="O44" s="71"/>
      <c r="P44" s="58"/>
    </row>
    <row r="45" spans="2:16" ht="12">
      <c r="B45" s="7">
        <v>31</v>
      </c>
      <c r="C45" s="8" t="s">
        <v>66</v>
      </c>
      <c r="D45" s="8" t="s">
        <v>67</v>
      </c>
      <c r="E45" s="9">
        <v>0.04</v>
      </c>
      <c r="F45" s="9">
        <v>1</v>
      </c>
      <c r="G45" s="10">
        <f>2450.7834*E45*F45</f>
        <v>98.031336</v>
      </c>
      <c r="H45" s="10">
        <f>14387.975047303*E45*F45</f>
        <v>575.5190018921201</v>
      </c>
      <c r="I45" s="10">
        <f aca="true" t="shared" si="15" ref="I45:I58">0*E45*F45</f>
        <v>0</v>
      </c>
      <c r="J45" s="10">
        <f>2056.2072726*E45*F45</f>
        <v>82.248290904</v>
      </c>
      <c r="K45" s="10">
        <f>661.32380019662*E45*F45</f>
        <v>26.452952007864802</v>
      </c>
      <c r="L45" s="10"/>
      <c r="M45" s="35">
        <f aca="true" t="shared" si="16" ref="M45:M58">SUM(G45:L45)</f>
        <v>782.2515808039849</v>
      </c>
      <c r="N45" s="75">
        <f t="shared" si="13"/>
        <v>0.020415794467167372</v>
      </c>
      <c r="O45" s="71">
        <f aca="true" t="shared" si="17" ref="O45:O58">N45*1.18</f>
        <v>0.024090637471257496</v>
      </c>
      <c r="P45" s="188">
        <f>SUM(O45:O58)</f>
        <v>1.4259754662053956</v>
      </c>
    </row>
    <row r="46" spans="2:16" ht="24">
      <c r="B46" s="7">
        <v>32</v>
      </c>
      <c r="C46" s="8" t="s">
        <v>68</v>
      </c>
      <c r="D46" s="8" t="s">
        <v>69</v>
      </c>
      <c r="E46" s="9">
        <v>3.193</v>
      </c>
      <c r="F46" s="9">
        <v>2</v>
      </c>
      <c r="G46" s="10">
        <f>47.97*E46*F46</f>
        <v>306.33642</v>
      </c>
      <c r="H46" s="10">
        <f>0*E46*F46</f>
        <v>0</v>
      </c>
      <c r="I46" s="10">
        <f t="shared" si="15"/>
        <v>0</v>
      </c>
      <c r="J46" s="10">
        <f>40.24683*E46*F46</f>
        <v>257.01625638</v>
      </c>
      <c r="K46" s="10">
        <f>3.08758905*E46*F46</f>
        <v>19.7173436733</v>
      </c>
      <c r="L46" s="10"/>
      <c r="M46" s="35">
        <f t="shared" si="16"/>
        <v>583.0700200533</v>
      </c>
      <c r="N46" s="75">
        <f t="shared" si="13"/>
        <v>0.015217403175</v>
      </c>
      <c r="O46" s="71">
        <f t="shared" si="17"/>
        <v>0.0179565357465</v>
      </c>
      <c r="P46" s="189"/>
    </row>
    <row r="47" spans="2:16" ht="24">
      <c r="B47" s="7">
        <v>33</v>
      </c>
      <c r="C47" s="8" t="s">
        <v>70</v>
      </c>
      <c r="D47" s="8" t="s">
        <v>69</v>
      </c>
      <c r="E47" s="9">
        <v>3.193</v>
      </c>
      <c r="F47" s="9">
        <v>2</v>
      </c>
      <c r="G47" s="10">
        <f>382.53*E47*F47</f>
        <v>2442.8365799999997</v>
      </c>
      <c r="H47" s="10">
        <f>0*E47*F47</f>
        <v>0</v>
      </c>
      <c r="I47" s="10">
        <f t="shared" si="15"/>
        <v>0</v>
      </c>
      <c r="J47" s="10">
        <f>320.94267*E47*F47</f>
        <v>2049.5398906200003</v>
      </c>
      <c r="K47" s="10">
        <f>24.62154345*E47*F47</f>
        <v>157.2331764717</v>
      </c>
      <c r="L47" s="10"/>
      <c r="M47" s="35">
        <f t="shared" si="16"/>
        <v>4649.6096470917</v>
      </c>
      <c r="N47" s="75">
        <f t="shared" si="13"/>
        <v>0.121349035575</v>
      </c>
      <c r="O47" s="71">
        <f t="shared" si="17"/>
        <v>0.14319186197849998</v>
      </c>
      <c r="P47" s="189"/>
    </row>
    <row r="48" spans="2:16" ht="12">
      <c r="B48" s="7">
        <v>34</v>
      </c>
      <c r="C48" s="8" t="s">
        <v>71</v>
      </c>
      <c r="D48" s="8" t="s">
        <v>72</v>
      </c>
      <c r="E48" s="9">
        <v>0.7</v>
      </c>
      <c r="F48" s="9">
        <v>2</v>
      </c>
      <c r="G48" s="10">
        <f>374.836*E48*F48</f>
        <v>524.7704</v>
      </c>
      <c r="H48" s="10">
        <f>0*E48*F48</f>
        <v>0</v>
      </c>
      <c r="I48" s="10">
        <f t="shared" si="15"/>
        <v>0</v>
      </c>
      <c r="J48" s="10">
        <f>314.487404*E48*F48</f>
        <v>440.2823656</v>
      </c>
      <c r="K48" s="10">
        <f>24.12631914*E48*F48</f>
        <v>33.776846795999994</v>
      </c>
      <c r="L48" s="10"/>
      <c r="M48" s="35">
        <f t="shared" si="16"/>
        <v>998.8296123959999</v>
      </c>
      <c r="N48" s="75">
        <f t="shared" si="13"/>
        <v>0.02606821203664265</v>
      </c>
      <c r="O48" s="71">
        <f t="shared" si="17"/>
        <v>0.030760490203238327</v>
      </c>
      <c r="P48" s="189"/>
    </row>
    <row r="49" spans="2:16" ht="24">
      <c r="B49" s="7">
        <v>35</v>
      </c>
      <c r="C49" s="8" t="s">
        <v>73</v>
      </c>
      <c r="D49" s="8" t="s">
        <v>74</v>
      </c>
      <c r="E49" s="9">
        <v>0.6000000000000001</v>
      </c>
      <c r="F49" s="9">
        <v>1</v>
      </c>
      <c r="G49" s="10">
        <f>7571.07*E49*F49</f>
        <v>4542.642000000001</v>
      </c>
      <c r="H49" s="10">
        <f>0*E49*F49</f>
        <v>0</v>
      </c>
      <c r="I49" s="10">
        <f t="shared" si="15"/>
        <v>0</v>
      </c>
      <c r="J49" s="10">
        <f>6352.12773*E49*F49</f>
        <v>3811.2766380000007</v>
      </c>
      <c r="K49" s="10">
        <f>487.31192055*E49*F49</f>
        <v>292.38715233000005</v>
      </c>
      <c r="L49" s="10"/>
      <c r="M49" s="35">
        <f t="shared" si="16"/>
        <v>8646.305790330001</v>
      </c>
      <c r="N49" s="75">
        <f t="shared" si="13"/>
        <v>0.22565783981443788</v>
      </c>
      <c r="O49" s="71">
        <f t="shared" si="17"/>
        <v>0.2662762509810367</v>
      </c>
      <c r="P49" s="189"/>
    </row>
    <row r="50" spans="2:16" ht="36">
      <c r="B50" s="7">
        <v>36</v>
      </c>
      <c r="C50" s="8" t="s">
        <v>75</v>
      </c>
      <c r="D50" s="8" t="s">
        <v>76</v>
      </c>
      <c r="E50" s="9">
        <v>0.1</v>
      </c>
      <c r="F50" s="9">
        <v>4</v>
      </c>
      <c r="G50" s="10">
        <f>3942.5646*E50*F50</f>
        <v>1577.0258400000002</v>
      </c>
      <c r="H50" s="10">
        <f>723.3433445*E50*F50</f>
        <v>289.3373378</v>
      </c>
      <c r="I50" s="10">
        <f t="shared" si="15"/>
        <v>0</v>
      </c>
      <c r="J50" s="10">
        <f>3307.8116994*E50*F50</f>
        <v>1323.1246797600002</v>
      </c>
      <c r="K50" s="10">
        <f>279.0801875365*E50*F50</f>
        <v>111.63207501459999</v>
      </c>
      <c r="L50" s="10"/>
      <c r="M50" s="35">
        <f t="shared" si="16"/>
        <v>3301.1199325746006</v>
      </c>
      <c r="N50" s="75">
        <f t="shared" si="13"/>
        <v>0.08615512925604449</v>
      </c>
      <c r="O50" s="71">
        <f t="shared" si="17"/>
        <v>0.1016630525221325</v>
      </c>
      <c r="P50" s="189"/>
    </row>
    <row r="51" spans="2:16" ht="24">
      <c r="B51" s="7">
        <v>38</v>
      </c>
      <c r="C51" s="8" t="s">
        <v>77</v>
      </c>
      <c r="D51" s="8" t="s">
        <v>78</v>
      </c>
      <c r="E51" s="9">
        <v>0.15</v>
      </c>
      <c r="F51" s="9">
        <v>1</v>
      </c>
      <c r="G51" s="10">
        <f>1135.6605*E51*F51</f>
        <v>170.349075</v>
      </c>
      <c r="H51" s="10">
        <f aca="true" t="shared" si="18" ref="H51:H56">0*E51*F51</f>
        <v>0</v>
      </c>
      <c r="I51" s="10">
        <f t="shared" si="15"/>
        <v>0</v>
      </c>
      <c r="J51" s="10">
        <f>952.8191595*E51*F51</f>
        <v>142.92287392499998</v>
      </c>
      <c r="K51" s="10">
        <f>73.0967880825*E51*F51</f>
        <v>10.964518212375</v>
      </c>
      <c r="L51" s="10"/>
      <c r="M51" s="35">
        <f t="shared" si="16"/>
        <v>324.236467137375</v>
      </c>
      <c r="N51" s="75">
        <f t="shared" si="13"/>
        <v>0.008462168993041417</v>
      </c>
      <c r="O51" s="71">
        <f t="shared" si="17"/>
        <v>0.009985359411788871</v>
      </c>
      <c r="P51" s="189"/>
    </row>
    <row r="52" spans="2:16" ht="12">
      <c r="B52" s="7">
        <v>39</v>
      </c>
      <c r="C52" s="8" t="s">
        <v>79</v>
      </c>
      <c r="D52" s="8" t="s">
        <v>80</v>
      </c>
      <c r="E52" s="9">
        <v>6</v>
      </c>
      <c r="F52" s="9">
        <v>1</v>
      </c>
      <c r="G52" s="10">
        <f>224.328*E52*F52</f>
        <v>1345.968</v>
      </c>
      <c r="H52" s="10">
        <f t="shared" si="18"/>
        <v>0</v>
      </c>
      <c r="I52" s="10">
        <f t="shared" si="15"/>
        <v>0</v>
      </c>
      <c r="J52" s="10">
        <f>188.211192*E52*F52</f>
        <v>1129.2671520000001</v>
      </c>
      <c r="K52" s="10">
        <f>14.43887172*E52*F52</f>
        <v>86.63323032</v>
      </c>
      <c r="L52" s="10"/>
      <c r="M52" s="35">
        <f t="shared" si="16"/>
        <v>2561.8683823200004</v>
      </c>
      <c r="N52" s="75">
        <f t="shared" si="13"/>
        <v>0.06686158216724085</v>
      </c>
      <c r="O52" s="71">
        <f t="shared" si="17"/>
        <v>0.0788966669573442</v>
      </c>
      <c r="P52" s="189"/>
    </row>
    <row r="53" spans="2:16" ht="36">
      <c r="B53" s="7">
        <v>40</v>
      </c>
      <c r="C53" s="8" t="s">
        <v>81</v>
      </c>
      <c r="D53" s="8" t="s">
        <v>82</v>
      </c>
      <c r="E53" s="9">
        <v>0.96</v>
      </c>
      <c r="F53" s="9">
        <v>2</v>
      </c>
      <c r="G53" s="10">
        <f>504.738*E53*F53</f>
        <v>969.09696</v>
      </c>
      <c r="H53" s="10">
        <f t="shared" si="18"/>
        <v>0</v>
      </c>
      <c r="I53" s="10">
        <f t="shared" si="15"/>
        <v>0</v>
      </c>
      <c r="J53" s="10">
        <f>423.475182*E53*F53</f>
        <v>813.07234944</v>
      </c>
      <c r="K53" s="10">
        <f>32.48746137*E53*F53</f>
        <v>62.37592583039999</v>
      </c>
      <c r="L53" s="10"/>
      <c r="M53" s="35">
        <f t="shared" si="16"/>
        <v>1844.5452352704</v>
      </c>
      <c r="N53" s="75">
        <f t="shared" si="13"/>
        <v>0.04814033916041341</v>
      </c>
      <c r="O53" s="71">
        <f t="shared" si="17"/>
        <v>0.05680560020928782</v>
      </c>
      <c r="P53" s="189"/>
    </row>
    <row r="54" spans="2:16" ht="12">
      <c r="B54" s="7">
        <v>41</v>
      </c>
      <c r="C54" s="8" t="s">
        <v>83</v>
      </c>
      <c r="D54" s="8" t="s">
        <v>84</v>
      </c>
      <c r="E54" s="9">
        <v>1</v>
      </c>
      <c r="F54" s="9">
        <v>1</v>
      </c>
      <c r="G54" s="10">
        <f>448.656*E54*F54</f>
        <v>448.656</v>
      </c>
      <c r="H54" s="10">
        <f t="shared" si="18"/>
        <v>0</v>
      </c>
      <c r="I54" s="10">
        <f t="shared" si="15"/>
        <v>0</v>
      </c>
      <c r="J54" s="10">
        <f>376.422384*E54*F54</f>
        <v>376.422384</v>
      </c>
      <c r="K54" s="10">
        <f>28.87774344*E54*F54</f>
        <v>28.87774344</v>
      </c>
      <c r="L54" s="10"/>
      <c r="M54" s="35">
        <f t="shared" si="16"/>
        <v>853.95612744</v>
      </c>
      <c r="N54" s="75">
        <f t="shared" si="13"/>
        <v>0.02228719405574695</v>
      </c>
      <c r="O54" s="71">
        <f t="shared" si="17"/>
        <v>0.026298888985781397</v>
      </c>
      <c r="P54" s="189"/>
    </row>
    <row r="55" spans="2:16" ht="12">
      <c r="B55" s="7">
        <v>42</v>
      </c>
      <c r="C55" s="8" t="s">
        <v>85</v>
      </c>
      <c r="D55" s="8" t="s">
        <v>31</v>
      </c>
      <c r="E55" s="9">
        <v>6</v>
      </c>
      <c r="F55" s="9">
        <v>1</v>
      </c>
      <c r="G55" s="10">
        <f>438.49892525215*E55*F55</f>
        <v>2630.9935515129</v>
      </c>
      <c r="H55" s="10">
        <f t="shared" si="18"/>
        <v>0</v>
      </c>
      <c r="I55" s="10">
        <f t="shared" si="15"/>
        <v>0</v>
      </c>
      <c r="J55" s="10">
        <f>367.90059828656*E55*F55</f>
        <v>2207.40358971936</v>
      </c>
      <c r="K55" s="10">
        <f>28.223983323855*E55*F55</f>
        <v>169.34389994313</v>
      </c>
      <c r="L55" s="10"/>
      <c r="M55" s="35">
        <f t="shared" si="16"/>
        <v>5007.74104117539</v>
      </c>
      <c r="N55" s="75">
        <f t="shared" si="13"/>
        <v>0.13069582005364314</v>
      </c>
      <c r="O55" s="71">
        <f t="shared" si="17"/>
        <v>0.1542210676632989</v>
      </c>
      <c r="P55" s="189"/>
    </row>
    <row r="56" spans="2:16" ht="24">
      <c r="B56" s="7">
        <v>43</v>
      </c>
      <c r="C56" s="8" t="s">
        <v>86</v>
      </c>
      <c r="D56" s="8" t="s">
        <v>31</v>
      </c>
      <c r="E56" s="9">
        <v>6</v>
      </c>
      <c r="F56" s="9">
        <v>1</v>
      </c>
      <c r="G56" s="10">
        <f>16.974152*E56*F56</f>
        <v>101.844912</v>
      </c>
      <c r="H56" s="10">
        <f t="shared" si="18"/>
        <v>0</v>
      </c>
      <c r="I56" s="10">
        <f t="shared" si="15"/>
        <v>0</v>
      </c>
      <c r="J56" s="10">
        <f>14.241313528*E56*F56</f>
        <v>85.447881168</v>
      </c>
      <c r="K56" s="10">
        <f>1.09254129348*E56*F56</f>
        <v>6.55524776088</v>
      </c>
      <c r="L56" s="10"/>
      <c r="M56" s="35">
        <f t="shared" si="16"/>
        <v>193.84804092888</v>
      </c>
      <c r="N56" s="75">
        <f t="shared" si="13"/>
        <v>0.005059193050654557</v>
      </c>
      <c r="O56" s="71">
        <f t="shared" si="17"/>
        <v>0.005969847799772377</v>
      </c>
      <c r="P56" s="189"/>
    </row>
    <row r="57" spans="2:16" ht="24">
      <c r="B57" s="7">
        <v>44</v>
      </c>
      <c r="C57" s="8" t="s">
        <v>87</v>
      </c>
      <c r="D57" s="8" t="s">
        <v>88</v>
      </c>
      <c r="E57" s="9">
        <v>60</v>
      </c>
      <c r="F57" s="9">
        <v>1</v>
      </c>
      <c r="G57" s="10">
        <f>103.6815975*E57*F57</f>
        <v>6220.89585</v>
      </c>
      <c r="H57" s="10">
        <f>14.32165*E57*F57</f>
        <v>859.299</v>
      </c>
      <c r="I57" s="10">
        <f t="shared" si="15"/>
        <v>0</v>
      </c>
      <c r="J57" s="10">
        <f>86.9888603025*E57*F57</f>
        <v>5219.33161815</v>
      </c>
      <c r="K57" s="10">
        <f>7.1747237730875*E57*F57</f>
        <v>430.48342638525</v>
      </c>
      <c r="L57" s="10"/>
      <c r="M57" s="35">
        <f t="shared" si="16"/>
        <v>12730.009894535251</v>
      </c>
      <c r="N57" s="75">
        <f t="shared" si="13"/>
        <v>0.33223744374504777</v>
      </c>
      <c r="O57" s="71">
        <f t="shared" si="17"/>
        <v>0.3920401836191563</v>
      </c>
      <c r="P57" s="189"/>
    </row>
    <row r="58" spans="2:16" ht="24">
      <c r="B58" s="7">
        <v>45</v>
      </c>
      <c r="C58" s="8" t="s">
        <v>89</v>
      </c>
      <c r="D58" s="8" t="s">
        <v>90</v>
      </c>
      <c r="E58" s="9">
        <v>0.32</v>
      </c>
      <c r="F58" s="9">
        <v>1</v>
      </c>
      <c r="G58" s="10">
        <f>6281.184*E58*F58</f>
        <v>2009.9788800000001</v>
      </c>
      <c r="H58" s="10">
        <f>0*E58*F58</f>
        <v>0</v>
      </c>
      <c r="I58" s="10">
        <f t="shared" si="15"/>
        <v>0</v>
      </c>
      <c r="J58" s="10">
        <f>5269.913376*E58*F58</f>
        <v>1686.37228032</v>
      </c>
      <c r="K58" s="10">
        <f>404.28840816*E58*F58</f>
        <v>129.37229061120001</v>
      </c>
      <c r="L58" s="10"/>
      <c r="M58" s="35">
        <f t="shared" si="16"/>
        <v>3825.7234509312</v>
      </c>
      <c r="N58" s="75">
        <f t="shared" si="13"/>
        <v>0.09984662936974634</v>
      </c>
      <c r="O58" s="71">
        <f t="shared" si="17"/>
        <v>0.11781902265630068</v>
      </c>
      <c r="P58" s="189"/>
    </row>
    <row r="59" spans="2:16" ht="24" customHeight="1">
      <c r="B59" s="7"/>
      <c r="C59" s="63" t="s">
        <v>344</v>
      </c>
      <c r="D59" s="62"/>
      <c r="E59" s="63"/>
      <c r="F59" s="63"/>
      <c r="G59" s="64">
        <f aca="true" t="shared" si="19" ref="G59:M59">SUM(G45:G58)</f>
        <v>23389.425804512903</v>
      </c>
      <c r="H59" s="64">
        <f t="shared" si="19"/>
        <v>1724.15533969212</v>
      </c>
      <c r="I59" s="64">
        <f t="shared" si="19"/>
        <v>0</v>
      </c>
      <c r="J59" s="64">
        <f t="shared" si="19"/>
        <v>19623.72824998636</v>
      </c>
      <c r="K59" s="64">
        <f t="shared" si="19"/>
        <v>1565.8058287966999</v>
      </c>
      <c r="L59" s="64">
        <f t="shared" si="19"/>
        <v>0</v>
      </c>
      <c r="M59" s="69">
        <f t="shared" si="19"/>
        <v>46303.11522298808</v>
      </c>
      <c r="N59" s="76"/>
      <c r="O59" s="72"/>
      <c r="P59" s="58"/>
    </row>
    <row r="60" spans="2:16" ht="15.75">
      <c r="B60" s="184" t="s">
        <v>91</v>
      </c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5"/>
      <c r="N60" s="75"/>
      <c r="O60" s="71"/>
      <c r="P60" s="58"/>
    </row>
    <row r="61" spans="2:16" ht="15.75">
      <c r="B61" s="12"/>
      <c r="C61" s="8" t="s">
        <v>92</v>
      </c>
      <c r="D61" s="8" t="s">
        <v>93</v>
      </c>
      <c r="E61" s="9">
        <v>1</v>
      </c>
      <c r="F61" s="9">
        <v>1</v>
      </c>
      <c r="G61" s="10">
        <v>253.48</v>
      </c>
      <c r="H61" s="10">
        <v>28413.78</v>
      </c>
      <c r="I61" s="10">
        <v>0</v>
      </c>
      <c r="J61" s="10">
        <v>241.31</v>
      </c>
      <c r="K61" s="10">
        <v>1011.8</v>
      </c>
      <c r="L61" s="10"/>
      <c r="M61" s="35">
        <v>29971.07</v>
      </c>
      <c r="N61" s="75">
        <f t="shared" si="13"/>
        <v>0.7822076939137697</v>
      </c>
      <c r="O61" s="71">
        <f>N61*1.18</f>
        <v>0.9230050788182481</v>
      </c>
      <c r="P61" s="188">
        <f>SUM(O61:O68)</f>
        <v>1.0031180693911845</v>
      </c>
    </row>
    <row r="62" spans="2:16" ht="24">
      <c r="B62" s="7">
        <v>46</v>
      </c>
      <c r="C62" s="8" t="s">
        <v>94</v>
      </c>
      <c r="D62" s="8" t="s">
        <v>95</v>
      </c>
      <c r="E62" s="9">
        <v>2</v>
      </c>
      <c r="F62" s="9">
        <v>1</v>
      </c>
      <c r="G62" s="10">
        <f>20.18952*E62*F62</f>
        <v>40.37904</v>
      </c>
      <c r="H62" s="10">
        <f aca="true" t="shared" si="20" ref="H62:H68">0*E62*F62</f>
        <v>0</v>
      </c>
      <c r="I62" s="10">
        <f aca="true" t="shared" si="21" ref="I62:I68">0*E62*F62</f>
        <v>0</v>
      </c>
      <c r="J62" s="10">
        <f>16.93900728*E62*F62</f>
        <v>33.87801456</v>
      </c>
      <c r="K62" s="10">
        <f>1.2994984548*E62*F62</f>
        <v>2.5989969096</v>
      </c>
      <c r="L62" s="10"/>
      <c r="M62" s="35">
        <f aca="true" t="shared" si="22" ref="M62:M68">SUM(G62:L62)</f>
        <v>76.8560514696</v>
      </c>
      <c r="N62" s="75">
        <f t="shared" si="13"/>
        <v>0.002005847465017225</v>
      </c>
      <c r="O62" s="71">
        <f aca="true" t="shared" si="23" ref="O62:O68">N62*1.18</f>
        <v>0.0023669000087203256</v>
      </c>
      <c r="P62" s="189"/>
    </row>
    <row r="63" spans="2:16" ht="24">
      <c r="B63" s="7">
        <v>47</v>
      </c>
      <c r="C63" s="8" t="s">
        <v>96</v>
      </c>
      <c r="D63" s="8" t="s">
        <v>95</v>
      </c>
      <c r="E63" s="9">
        <v>1</v>
      </c>
      <c r="F63" s="9">
        <v>1</v>
      </c>
      <c r="G63" s="10">
        <f>33.6492*E63*F63</f>
        <v>33.6492</v>
      </c>
      <c r="H63" s="10">
        <f t="shared" si="20"/>
        <v>0</v>
      </c>
      <c r="I63" s="10">
        <f t="shared" si="21"/>
        <v>0</v>
      </c>
      <c r="J63" s="10">
        <f>28.2316788*E63*F63</f>
        <v>28.2316788</v>
      </c>
      <c r="K63" s="10">
        <f>2.165830758*E63*F63</f>
        <v>2.165830758</v>
      </c>
      <c r="L63" s="10"/>
      <c r="M63" s="35">
        <f t="shared" si="22"/>
        <v>64.046709558</v>
      </c>
      <c r="N63" s="75">
        <f t="shared" si="13"/>
        <v>0.001671539554181021</v>
      </c>
      <c r="O63" s="71">
        <f t="shared" si="23"/>
        <v>0.001972416673933605</v>
      </c>
      <c r="P63" s="189"/>
    </row>
    <row r="64" spans="2:16" ht="24">
      <c r="B64" s="7">
        <v>48</v>
      </c>
      <c r="C64" s="8" t="s">
        <v>97</v>
      </c>
      <c r="D64" s="8" t="s">
        <v>98</v>
      </c>
      <c r="E64" s="9">
        <v>1</v>
      </c>
      <c r="F64" s="9">
        <v>12</v>
      </c>
      <c r="G64" s="10">
        <f>20.18952*E64*F64</f>
        <v>242.27424000000002</v>
      </c>
      <c r="H64" s="10">
        <f t="shared" si="20"/>
        <v>0</v>
      </c>
      <c r="I64" s="10">
        <f t="shared" si="21"/>
        <v>0</v>
      </c>
      <c r="J64" s="10">
        <f>16.93900728*E64*F64</f>
        <v>203.26808735999998</v>
      </c>
      <c r="K64" s="10">
        <f>1.2994984548*E64*F64</f>
        <v>15.593981457599998</v>
      </c>
      <c r="L64" s="10"/>
      <c r="M64" s="35">
        <f t="shared" si="22"/>
        <v>461.1363088176</v>
      </c>
      <c r="N64" s="75">
        <f t="shared" si="13"/>
        <v>0.012035084790103352</v>
      </c>
      <c r="O64" s="71">
        <f t="shared" si="23"/>
        <v>0.014201400052321955</v>
      </c>
      <c r="P64" s="189"/>
    </row>
    <row r="65" spans="2:16" ht="24">
      <c r="B65" s="7">
        <v>49</v>
      </c>
      <c r="C65" s="8" t="s">
        <v>96</v>
      </c>
      <c r="D65" s="8" t="s">
        <v>99</v>
      </c>
      <c r="E65" s="9">
        <v>1</v>
      </c>
      <c r="F65" s="9">
        <v>1</v>
      </c>
      <c r="G65" s="10">
        <f>33.6492*E65*F65</f>
        <v>33.6492</v>
      </c>
      <c r="H65" s="10">
        <f t="shared" si="20"/>
        <v>0</v>
      </c>
      <c r="I65" s="10">
        <f t="shared" si="21"/>
        <v>0</v>
      </c>
      <c r="J65" s="10">
        <f>28.2316788*E65*F65</f>
        <v>28.2316788</v>
      </c>
      <c r="K65" s="10">
        <f>2.165830758*E65*F65</f>
        <v>2.165830758</v>
      </c>
      <c r="L65" s="10"/>
      <c r="M65" s="35">
        <f t="shared" si="22"/>
        <v>64.046709558</v>
      </c>
      <c r="N65" s="75">
        <f t="shared" si="13"/>
        <v>0.001671539554181021</v>
      </c>
      <c r="O65" s="71">
        <f t="shared" si="23"/>
        <v>0.001972416673933605</v>
      </c>
      <c r="P65" s="189"/>
    </row>
    <row r="66" spans="2:16" ht="24">
      <c r="B66" s="7">
        <v>50</v>
      </c>
      <c r="C66" s="8" t="s">
        <v>100</v>
      </c>
      <c r="D66" s="8" t="s">
        <v>99</v>
      </c>
      <c r="E66" s="9">
        <v>1</v>
      </c>
      <c r="F66" s="9">
        <v>1</v>
      </c>
      <c r="G66" s="10">
        <f>108.51867*E66*F66</f>
        <v>108.51867</v>
      </c>
      <c r="H66" s="10">
        <f t="shared" si="20"/>
        <v>0</v>
      </c>
      <c r="I66" s="10">
        <f t="shared" si="21"/>
        <v>0</v>
      </c>
      <c r="J66" s="10">
        <f>91.04716413*E66*F66</f>
        <v>91.04716413</v>
      </c>
      <c r="K66" s="10">
        <f>6.98480419455*E66*F66</f>
        <v>6.98480419455</v>
      </c>
      <c r="L66" s="10"/>
      <c r="M66" s="35">
        <f t="shared" si="22"/>
        <v>206.55063832455</v>
      </c>
      <c r="N66" s="75">
        <f t="shared" si="13"/>
        <v>0.005390715062233792</v>
      </c>
      <c r="O66" s="71">
        <f t="shared" si="23"/>
        <v>0.006361043773435874</v>
      </c>
      <c r="P66" s="189"/>
    </row>
    <row r="67" spans="2:16" ht="12">
      <c r="B67" s="7">
        <v>51</v>
      </c>
      <c r="C67" s="8" t="s">
        <v>101</v>
      </c>
      <c r="D67" s="8" t="s">
        <v>98</v>
      </c>
      <c r="E67" s="9">
        <v>1</v>
      </c>
      <c r="F67" s="9">
        <v>6</v>
      </c>
      <c r="G67" s="10">
        <f>126.1845*E67*F67</f>
        <v>757.107</v>
      </c>
      <c r="H67" s="10">
        <f t="shared" si="20"/>
        <v>0</v>
      </c>
      <c r="I67" s="10">
        <f t="shared" si="21"/>
        <v>0</v>
      </c>
      <c r="J67" s="10">
        <f>105.8687955*E67*F67</f>
        <v>635.212773</v>
      </c>
      <c r="K67" s="10">
        <f>8.1218653425*E67*F67</f>
        <v>48.731192054999994</v>
      </c>
      <c r="L67" s="10"/>
      <c r="M67" s="35">
        <f t="shared" si="22"/>
        <v>1441.050965055</v>
      </c>
      <c r="N67" s="75">
        <f t="shared" si="13"/>
        <v>0.03760963996907297</v>
      </c>
      <c r="O67" s="71">
        <f t="shared" si="23"/>
        <v>0.0443793751635061</v>
      </c>
      <c r="P67" s="189"/>
    </row>
    <row r="68" spans="2:16" ht="12">
      <c r="B68" s="7">
        <v>52</v>
      </c>
      <c r="C68" s="8" t="s">
        <v>102</v>
      </c>
      <c r="D68" s="8" t="s">
        <v>98</v>
      </c>
      <c r="E68" s="9">
        <v>1</v>
      </c>
      <c r="F68" s="9">
        <v>1</v>
      </c>
      <c r="G68" s="10">
        <f>151.14099*E68*F68</f>
        <v>151.14099</v>
      </c>
      <c r="H68" s="10">
        <f t="shared" si="20"/>
        <v>0</v>
      </c>
      <c r="I68" s="10">
        <f t="shared" si="21"/>
        <v>0</v>
      </c>
      <c r="J68" s="10">
        <f>126.80729061*E68*F68</f>
        <v>126.80729061</v>
      </c>
      <c r="K68" s="10">
        <f>9.72818982135*E68*F68</f>
        <v>9.72818982135</v>
      </c>
      <c r="L68" s="10"/>
      <c r="M68" s="35">
        <f t="shared" si="22"/>
        <v>287.67647043134997</v>
      </c>
      <c r="N68" s="75">
        <f t="shared" si="13"/>
        <v>0.007507998497529752</v>
      </c>
      <c r="O68" s="71">
        <f t="shared" si="23"/>
        <v>0.008859438227085107</v>
      </c>
      <c r="P68" s="189"/>
    </row>
    <row r="69" spans="2:16" ht="20.25" customHeight="1">
      <c r="B69" s="7"/>
      <c r="C69" s="63" t="s">
        <v>344</v>
      </c>
      <c r="D69" s="66"/>
      <c r="E69" s="65"/>
      <c r="F69" s="65"/>
      <c r="G69" s="64">
        <f aca="true" t="shared" si="24" ref="G69:M69">SUM(G61:G68)</f>
        <v>1620.19834</v>
      </c>
      <c r="H69" s="64">
        <f t="shared" si="24"/>
        <v>28413.78</v>
      </c>
      <c r="I69" s="64">
        <f t="shared" si="24"/>
        <v>0</v>
      </c>
      <c r="J69" s="64">
        <f t="shared" si="24"/>
        <v>1387.98668726</v>
      </c>
      <c r="K69" s="64">
        <f t="shared" si="24"/>
        <v>1099.7688259541</v>
      </c>
      <c r="L69" s="64">
        <f t="shared" si="24"/>
        <v>0</v>
      </c>
      <c r="M69" s="69">
        <f t="shared" si="24"/>
        <v>32572.433853214097</v>
      </c>
      <c r="N69" s="77"/>
      <c r="O69" s="73"/>
      <c r="P69" s="58"/>
    </row>
    <row r="70" spans="2:16" ht="19.5" customHeight="1">
      <c r="B70" s="7"/>
      <c r="C70" s="194" t="s">
        <v>103</v>
      </c>
      <c r="D70" s="194"/>
      <c r="E70" s="194"/>
      <c r="F70" s="194"/>
      <c r="G70" s="194"/>
      <c r="H70" s="194"/>
      <c r="I70" s="194"/>
      <c r="J70" s="194"/>
      <c r="K70" s="194"/>
      <c r="L70" s="194"/>
      <c r="M70" s="195"/>
      <c r="N70" s="75"/>
      <c r="O70" s="71"/>
      <c r="P70" s="58"/>
    </row>
    <row r="71" spans="2:16" ht="24">
      <c r="B71" s="7">
        <v>37</v>
      </c>
      <c r="C71" s="8" t="s">
        <v>104</v>
      </c>
      <c r="D71" s="8" t="s">
        <v>105</v>
      </c>
      <c r="E71" s="9">
        <v>3.193</v>
      </c>
      <c r="F71" s="9">
        <v>2</v>
      </c>
      <c r="G71" s="10">
        <f>471.0888*E71*F71</f>
        <v>3008.3730768</v>
      </c>
      <c r="H71" s="10">
        <f>0*E71*F71</f>
        <v>0</v>
      </c>
      <c r="I71" s="10">
        <f>0*E71*F71</f>
        <v>0</v>
      </c>
      <c r="J71" s="10">
        <f>395.2435032*E71*F71</f>
        <v>2524.0250114352</v>
      </c>
      <c r="K71" s="10">
        <f>30.321630612*E71*F71</f>
        <v>193.633933088232</v>
      </c>
      <c r="L71" s="10"/>
      <c r="M71" s="35">
        <f>SUM(G71:L71)</f>
        <v>5726.032021323433</v>
      </c>
      <c r="N71" s="75">
        <f aca="true" t="shared" si="25" ref="N71:N100">M71/12/3193</f>
        <v>0.14944232230200002</v>
      </c>
      <c r="O71" s="71">
        <f>N71*1.18</f>
        <v>0.17634194031636002</v>
      </c>
      <c r="P71" s="59">
        <f>O71</f>
        <v>0.17634194031636002</v>
      </c>
    </row>
    <row r="72" spans="2:16" ht="18" customHeight="1">
      <c r="B72" s="7"/>
      <c r="C72" s="63" t="s">
        <v>344</v>
      </c>
      <c r="D72" s="62"/>
      <c r="E72" s="63"/>
      <c r="F72" s="63"/>
      <c r="G72" s="64">
        <f aca="true" t="shared" si="26" ref="G72:M72">SUM(G71)</f>
        <v>3008.3730768</v>
      </c>
      <c r="H72" s="64">
        <f t="shared" si="26"/>
        <v>0</v>
      </c>
      <c r="I72" s="64">
        <f t="shared" si="26"/>
        <v>0</v>
      </c>
      <c r="J72" s="64">
        <f t="shared" si="26"/>
        <v>2524.0250114352</v>
      </c>
      <c r="K72" s="64">
        <f t="shared" si="26"/>
        <v>193.633933088232</v>
      </c>
      <c r="L72" s="64">
        <f t="shared" si="26"/>
        <v>0</v>
      </c>
      <c r="M72" s="69">
        <f t="shared" si="26"/>
        <v>5726.032021323433</v>
      </c>
      <c r="N72" s="76"/>
      <c r="O72" s="72"/>
      <c r="P72" s="58"/>
    </row>
    <row r="73" spans="2:16" ht="15.75">
      <c r="B73" s="184" t="s">
        <v>106</v>
      </c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5"/>
      <c r="N73" s="75"/>
      <c r="O73" s="71"/>
      <c r="P73" s="58"/>
    </row>
    <row r="74" spans="2:16" ht="75" customHeight="1">
      <c r="B74" s="7">
        <v>53</v>
      </c>
      <c r="C74" s="8" t="s">
        <v>107</v>
      </c>
      <c r="D74" s="8" t="s">
        <v>108</v>
      </c>
      <c r="E74">
        <v>3.193</v>
      </c>
      <c r="F74" s="9">
        <v>6</v>
      </c>
      <c r="G74" s="10">
        <f>1113.829014*E74*F74</f>
        <v>21338.736250211998</v>
      </c>
      <c r="H74" s="10">
        <f>0*E74*F74</f>
        <v>0</v>
      </c>
      <c r="I74" s="10">
        <f>0*E74*F74</f>
        <v>0</v>
      </c>
      <c r="J74" s="10">
        <f>934.502542746*E74*F74</f>
        <v>17903.19971392787</v>
      </c>
      <c r="K74" s="10">
        <f>71.69160448611*E74*F74</f>
        <v>1373.4677587448953</v>
      </c>
      <c r="L74" s="10"/>
      <c r="M74" s="35">
        <f>SUM(G74:L74)</f>
        <v>40615.40372288476</v>
      </c>
      <c r="N74" s="75">
        <f t="shared" si="25"/>
        <v>1.060011580616055</v>
      </c>
      <c r="O74" s="71">
        <f>N74*1.18</f>
        <v>1.2508136651269448</v>
      </c>
      <c r="P74" s="59">
        <f>O74</f>
        <v>1.2508136651269448</v>
      </c>
    </row>
    <row r="75" spans="2:16" ht="16.5" customHeight="1">
      <c r="B75" s="7"/>
      <c r="C75" s="63" t="s">
        <v>344</v>
      </c>
      <c r="D75" s="62"/>
      <c r="E75" s="63"/>
      <c r="F75" s="63"/>
      <c r="G75" s="64">
        <f aca="true" t="shared" si="27" ref="G75:M75">SUM(G74)</f>
        <v>21338.736250211998</v>
      </c>
      <c r="H75" s="64">
        <f t="shared" si="27"/>
        <v>0</v>
      </c>
      <c r="I75" s="64">
        <f t="shared" si="27"/>
        <v>0</v>
      </c>
      <c r="J75" s="64">
        <f t="shared" si="27"/>
        <v>17903.19971392787</v>
      </c>
      <c r="K75" s="64">
        <f t="shared" si="27"/>
        <v>1373.4677587448953</v>
      </c>
      <c r="L75" s="64">
        <f t="shared" si="27"/>
        <v>0</v>
      </c>
      <c r="M75" s="69">
        <f t="shared" si="27"/>
        <v>40615.40372288476</v>
      </c>
      <c r="N75" s="76"/>
      <c r="O75" s="72"/>
      <c r="P75" s="58"/>
    </row>
    <row r="76" spans="2:16" ht="12.75" customHeight="1">
      <c r="B76" s="7"/>
      <c r="C76" s="194" t="s">
        <v>109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5"/>
      <c r="N76" s="75"/>
      <c r="O76" s="71"/>
      <c r="P76" s="58"/>
    </row>
    <row r="77" spans="2:16" ht="36">
      <c r="B77" s="7">
        <v>54</v>
      </c>
      <c r="C77" s="8" t="s">
        <v>110</v>
      </c>
      <c r="D77" s="8" t="s">
        <v>111</v>
      </c>
      <c r="E77" s="9">
        <v>0.99</v>
      </c>
      <c r="F77" s="9">
        <v>52</v>
      </c>
      <c r="G77" s="10">
        <f>119.45465966351*E77*F77</f>
        <v>6149.5258794774945</v>
      </c>
      <c r="H77" s="10">
        <f>3.5065817822*E77*F77</f>
        <v>180.518830147656</v>
      </c>
      <c r="I77" s="10">
        <f>0*E77*F77</f>
        <v>0</v>
      </c>
      <c r="J77" s="10">
        <f>100.22245945768*E77*F77</f>
        <v>5159.452212881366</v>
      </c>
      <c r="K77" s="10">
        <f>7.8114295316187*E77*F77</f>
        <v>402.1323922877307</v>
      </c>
      <c r="L77" s="10"/>
      <c r="M77" s="35">
        <f>SUM(G77:L77)</f>
        <v>11891.629314794247</v>
      </c>
      <c r="N77" s="75">
        <f t="shared" si="25"/>
        <v>0.31035675213472824</v>
      </c>
      <c r="O77" s="71">
        <f>N77*1.18</f>
        <v>0.3662209675189793</v>
      </c>
      <c r="P77" s="188">
        <f>SUM(O77:O81)</f>
        <v>1.1411520007291585</v>
      </c>
    </row>
    <row r="78" spans="2:16" ht="36">
      <c r="B78" s="7">
        <v>55</v>
      </c>
      <c r="C78" s="8" t="s">
        <v>112</v>
      </c>
      <c r="D78" s="8" t="s">
        <v>111</v>
      </c>
      <c r="E78" s="9">
        <v>0.65</v>
      </c>
      <c r="F78" s="9">
        <v>12</v>
      </c>
      <c r="G78" s="10">
        <f>104.31251966351*E78*F78</f>
        <v>813.637653375378</v>
      </c>
      <c r="H78" s="10">
        <f>3.425170315651*E78*F78</f>
        <v>26.716328462077804</v>
      </c>
      <c r="I78" s="10">
        <f>0*E78*F78</f>
        <v>0</v>
      </c>
      <c r="J78" s="10">
        <f>87.518203997683*E78*F78</f>
        <v>682.6419911819274</v>
      </c>
      <c r="K78" s="10">
        <f>6.8339562891895*E78*F78</f>
        <v>53.304859055678094</v>
      </c>
      <c r="L78" s="10"/>
      <c r="M78" s="35">
        <f>SUM(G78:L78)</f>
        <v>1576.3008320750614</v>
      </c>
      <c r="N78" s="75">
        <f t="shared" si="25"/>
        <v>0.041139493477269584</v>
      </c>
      <c r="O78" s="71">
        <f>N78*1.18</f>
        <v>0.04854460230317811</v>
      </c>
      <c r="P78" s="189"/>
    </row>
    <row r="79" spans="2:16" ht="24">
      <c r="B79" s="7">
        <v>56</v>
      </c>
      <c r="C79" s="8" t="s">
        <v>113</v>
      </c>
      <c r="D79" s="8" t="s">
        <v>111</v>
      </c>
      <c r="E79" s="9">
        <v>0.99</v>
      </c>
      <c r="F79" s="9">
        <v>12</v>
      </c>
      <c r="G79" s="10">
        <f>153.10386033649*E79*F79</f>
        <v>1818.873860797501</v>
      </c>
      <c r="H79" s="10">
        <f>56.105556816197*E79*F79</f>
        <v>666.5340149764204</v>
      </c>
      <c r="I79" s="10">
        <f>0*E79*F79</f>
        <v>0</v>
      </c>
      <c r="J79" s="10">
        <f>128.45413882232*E79*F79</f>
        <v>1526.0351692091617</v>
      </c>
      <c r="K79" s="10">
        <f>11.818224459125*E79*F79</f>
        <v>140.400506574405</v>
      </c>
      <c r="L79" s="10"/>
      <c r="M79" s="35">
        <f>SUM(G79:L79)</f>
        <v>4151.843551557488</v>
      </c>
      <c r="N79" s="75">
        <f t="shared" si="25"/>
        <v>0.10835795885680886</v>
      </c>
      <c r="O79" s="71">
        <f>N79*1.18</f>
        <v>0.12786239145103445</v>
      </c>
      <c r="P79" s="189"/>
    </row>
    <row r="80" spans="2:16" ht="24">
      <c r="B80" s="7">
        <v>57</v>
      </c>
      <c r="C80" s="8" t="s">
        <v>114</v>
      </c>
      <c r="D80" s="8" t="s">
        <v>111</v>
      </c>
      <c r="E80" s="9">
        <v>0.65</v>
      </c>
      <c r="F80" s="9">
        <v>12</v>
      </c>
      <c r="G80" s="10">
        <f>131.23188*E80*F80</f>
        <v>1023.6086639999999</v>
      </c>
      <c r="H80" s="10">
        <f>53.945101380373*E80*F80</f>
        <v>420.7717907669094</v>
      </c>
      <c r="I80" s="10">
        <f>0*E80*F80</f>
        <v>0</v>
      </c>
      <c r="J80" s="10">
        <f>110.10354732*E80*F80</f>
        <v>858.807669096</v>
      </c>
      <c r="K80" s="10">
        <f>10.334818504513*E80*F80</f>
        <v>80.6115843352014</v>
      </c>
      <c r="L80" s="10"/>
      <c r="M80" s="35">
        <f>SUM(G80:L80)</f>
        <v>2383.7997081981107</v>
      </c>
      <c r="N80" s="75">
        <f t="shared" si="25"/>
        <v>0.06221421098752768</v>
      </c>
      <c r="O80" s="71">
        <f>N80*1.18</f>
        <v>0.07341276896528265</v>
      </c>
      <c r="P80" s="189"/>
    </row>
    <row r="81" spans="2:16" ht="36">
      <c r="B81" s="7">
        <v>58</v>
      </c>
      <c r="C81" s="8" t="s">
        <v>115</v>
      </c>
      <c r="D81" s="8" t="s">
        <v>116</v>
      </c>
      <c r="E81" s="9">
        <v>7</v>
      </c>
      <c r="F81" s="9">
        <v>1</v>
      </c>
      <c r="G81" s="10">
        <f>1277.27568*E81*F81</f>
        <v>8940.929759999999</v>
      </c>
      <c r="H81" s="10">
        <f>4.573249628969*E81*F81</f>
        <v>32.012747402783</v>
      </c>
      <c r="I81" s="10">
        <f>0*E81*F81</f>
        <v>0</v>
      </c>
      <c r="J81" s="10">
        <f>1071.63429552*E81*F81</f>
        <v>7501.44006864</v>
      </c>
      <c r="K81" s="10">
        <f>82.371912880214*E81*F81</f>
        <v>576.6033901614979</v>
      </c>
      <c r="L81" s="10"/>
      <c r="M81" s="35">
        <f>SUM(G81:L81)</f>
        <v>17050.98596620428</v>
      </c>
      <c r="N81" s="75">
        <f t="shared" si="25"/>
        <v>0.44500955126329156</v>
      </c>
      <c r="O81" s="71">
        <f>N81*1.18</f>
        <v>0.525111270490684</v>
      </c>
      <c r="P81" s="189"/>
    </row>
    <row r="82" spans="2:16" ht="18.75" customHeight="1">
      <c r="B82" s="7"/>
      <c r="C82" s="63" t="s">
        <v>344</v>
      </c>
      <c r="D82" s="62"/>
      <c r="E82" s="63"/>
      <c r="F82" s="63"/>
      <c r="G82" s="64">
        <f aca="true" t="shared" si="28" ref="G82:M82">SUM(G77:G81)</f>
        <v>18746.575817650373</v>
      </c>
      <c r="H82" s="64">
        <f t="shared" si="28"/>
        <v>1326.5537117558465</v>
      </c>
      <c r="I82" s="64">
        <f t="shared" si="28"/>
        <v>0</v>
      </c>
      <c r="J82" s="64">
        <f t="shared" si="28"/>
        <v>15728.377111008456</v>
      </c>
      <c r="K82" s="64">
        <f t="shared" si="28"/>
        <v>1253.0527324145132</v>
      </c>
      <c r="L82" s="64">
        <f t="shared" si="28"/>
        <v>0</v>
      </c>
      <c r="M82" s="69">
        <f t="shared" si="28"/>
        <v>37054.559372829186</v>
      </c>
      <c r="N82" s="76"/>
      <c r="O82" s="72"/>
      <c r="P82" s="58"/>
    </row>
    <row r="83" spans="2:16" ht="12.75" customHeight="1">
      <c r="B83" s="7"/>
      <c r="C83" s="194" t="s">
        <v>117</v>
      </c>
      <c r="D83" s="194"/>
      <c r="E83" s="194"/>
      <c r="F83" s="194"/>
      <c r="G83" s="194"/>
      <c r="H83" s="194"/>
      <c r="I83" s="194"/>
      <c r="J83" s="194"/>
      <c r="K83" s="194"/>
      <c r="L83" s="194"/>
      <c r="M83" s="195"/>
      <c r="N83" s="75"/>
      <c r="O83" s="71"/>
      <c r="P83" s="58"/>
    </row>
    <row r="84" spans="2:16" ht="24">
      <c r="B84" s="7">
        <v>59</v>
      </c>
      <c r="C84" s="8" t="s">
        <v>118</v>
      </c>
      <c r="D84" s="8" t="s">
        <v>119</v>
      </c>
      <c r="E84" s="9">
        <v>0.352</v>
      </c>
      <c r="F84" s="9">
        <v>144</v>
      </c>
      <c r="G84" s="10">
        <f>79.1749*E84*F84</f>
        <v>4013.2173311999995</v>
      </c>
      <c r="H84" s="10">
        <f>3.432912*E84*F84</f>
        <v>174.00744345599998</v>
      </c>
      <c r="I84" s="10">
        <f aca="true" t="shared" si="29" ref="I84:I89">0*E84*F84</f>
        <v>0</v>
      </c>
      <c r="J84" s="10">
        <f>66.4277411*E84*F84</f>
        <v>3367.0893408767997</v>
      </c>
      <c r="K84" s="10">
        <f>5.2162443585*E84*F84</f>
        <v>264.400994043648</v>
      </c>
      <c r="L84" s="10"/>
      <c r="M84" s="35">
        <f aca="true" t="shared" si="30" ref="M84:M94">SUM(G84:L84)</f>
        <v>7818.7151095764475</v>
      </c>
      <c r="N84" s="75">
        <f t="shared" si="25"/>
        <v>0.20405875116338992</v>
      </c>
      <c r="O84" s="71">
        <f aca="true" t="shared" si="31" ref="O84:O94">N84*1.18</f>
        <v>0.2407893263728001</v>
      </c>
      <c r="P84" s="188">
        <f>SUM(O84:O94)</f>
        <v>2.1577284603721236</v>
      </c>
    </row>
    <row r="85" spans="2:16" ht="24">
      <c r="B85" s="7">
        <v>60</v>
      </c>
      <c r="C85" s="8" t="s">
        <v>120</v>
      </c>
      <c r="D85" s="8" t="s">
        <v>119</v>
      </c>
      <c r="E85" s="9">
        <v>0.352</v>
      </c>
      <c r="F85" s="9">
        <v>144</v>
      </c>
      <c r="G85" s="10">
        <f>99.4151*E85*F85</f>
        <v>5039.1525888</v>
      </c>
      <c r="H85" s="10">
        <f>3.812522*E85*F85</f>
        <v>193.249115136</v>
      </c>
      <c r="I85" s="10">
        <f t="shared" si="29"/>
        <v>0</v>
      </c>
      <c r="J85" s="10">
        <f>83.4092689*E85*F85</f>
        <v>4227.8490220032</v>
      </c>
      <c r="K85" s="10">
        <f>6.5322911815*E85*F85</f>
        <v>331.1087754078719</v>
      </c>
      <c r="L85" s="10"/>
      <c r="M85" s="35">
        <f t="shared" si="30"/>
        <v>9791.359501347073</v>
      </c>
      <c r="N85" s="75">
        <f t="shared" si="25"/>
        <v>0.2555423191707661</v>
      </c>
      <c r="O85" s="71">
        <f t="shared" si="31"/>
        <v>0.30153993662150397</v>
      </c>
      <c r="P85" s="189"/>
    </row>
    <row r="86" spans="2:16" ht="24">
      <c r="B86" s="7">
        <v>61</v>
      </c>
      <c r="C86" s="8" t="s">
        <v>121</v>
      </c>
      <c r="D86" s="8" t="s">
        <v>119</v>
      </c>
      <c r="E86" s="9">
        <v>0.158</v>
      </c>
      <c r="F86" s="9">
        <v>144</v>
      </c>
      <c r="G86" s="10">
        <f>119.06*E86*F86</f>
        <v>2708.8531199999998</v>
      </c>
      <c r="H86" s="10">
        <f>4.860555*E86*F86</f>
        <v>110.58734736</v>
      </c>
      <c r="I86" s="10">
        <f t="shared" si="29"/>
        <v>0</v>
      </c>
      <c r="J86" s="10">
        <f>99.89134*E86*F86</f>
        <v>2272.72776768</v>
      </c>
      <c r="K86" s="10">
        <f>7.833416325*E86*F86</f>
        <v>178.2258882264</v>
      </c>
      <c r="L86" s="10"/>
      <c r="M86" s="35">
        <f t="shared" si="30"/>
        <v>5270.3941232664</v>
      </c>
      <c r="N86" s="75">
        <f t="shared" si="25"/>
        <v>0.13755073920206703</v>
      </c>
      <c r="O86" s="71">
        <f t="shared" si="31"/>
        <v>0.1623098722584391</v>
      </c>
      <c r="P86" s="189"/>
    </row>
    <row r="87" spans="2:16" ht="24">
      <c r="B87" s="7">
        <v>62</v>
      </c>
      <c r="C87" s="8" t="s">
        <v>122</v>
      </c>
      <c r="D87" s="8" t="s">
        <v>119</v>
      </c>
      <c r="E87" s="9">
        <v>0.135</v>
      </c>
      <c r="F87" s="9">
        <v>144</v>
      </c>
      <c r="G87" s="10">
        <f>108.9399*E87*F87</f>
        <v>2117.791656</v>
      </c>
      <c r="H87" s="10">
        <f>4.480945*E87*F87</f>
        <v>87.1095708</v>
      </c>
      <c r="I87" s="10">
        <f t="shared" si="29"/>
        <v>0</v>
      </c>
      <c r="J87" s="10">
        <f>91.4005761*E87*F87</f>
        <v>1776.8271993839999</v>
      </c>
      <c r="K87" s="10">
        <f>7.1687497385*E87*F87</f>
        <v>139.36049491644</v>
      </c>
      <c r="L87" s="10"/>
      <c r="M87" s="35">
        <f t="shared" si="30"/>
        <v>4121.08892110044</v>
      </c>
      <c r="N87" s="75">
        <f t="shared" si="25"/>
        <v>0.10755530120838395</v>
      </c>
      <c r="O87" s="71">
        <f t="shared" si="31"/>
        <v>0.12691525542589305</v>
      </c>
      <c r="P87" s="189"/>
    </row>
    <row r="88" spans="2:16" ht="24">
      <c r="B88" s="7">
        <v>63</v>
      </c>
      <c r="C88" s="8" t="s">
        <v>123</v>
      </c>
      <c r="D88" s="8" t="s">
        <v>119</v>
      </c>
      <c r="E88" s="9">
        <v>0.102</v>
      </c>
      <c r="F88" s="9">
        <v>144</v>
      </c>
      <c r="G88" s="10">
        <f>129.1801*E88*F88</f>
        <v>1897.3973088000002</v>
      </c>
      <c r="H88" s="10">
        <f>5.528978*E88*F88</f>
        <v>81.20962886400001</v>
      </c>
      <c r="I88" s="10">
        <f t="shared" si="29"/>
        <v>0</v>
      </c>
      <c r="J88" s="10">
        <f>108.3821039*E88*F88</f>
        <v>1591.9163420831999</v>
      </c>
      <c r="K88" s="10">
        <f>8.5081913665*E88*F88</f>
        <v>124.968314791152</v>
      </c>
      <c r="L88" s="10"/>
      <c r="M88" s="35">
        <f t="shared" si="30"/>
        <v>3695.491594538352</v>
      </c>
      <c r="N88" s="75">
        <f t="shared" si="25"/>
        <v>0.09644773970504102</v>
      </c>
      <c r="O88" s="71">
        <f t="shared" si="31"/>
        <v>0.1138083328519484</v>
      </c>
      <c r="P88" s="189"/>
    </row>
    <row r="89" spans="2:16" ht="12">
      <c r="B89" s="7">
        <v>64</v>
      </c>
      <c r="C89" s="8" t="s">
        <v>124</v>
      </c>
      <c r="D89" s="8" t="s">
        <v>125</v>
      </c>
      <c r="E89" s="9">
        <v>0.023</v>
      </c>
      <c r="F89" s="9">
        <v>52</v>
      </c>
      <c r="G89" s="10">
        <f>7639.4849*E89*F89</f>
        <v>9136.8239404</v>
      </c>
      <c r="H89" s="10">
        <f>91.1064*E89*F89</f>
        <v>108.96325439999998</v>
      </c>
      <c r="I89" s="10">
        <f t="shared" si="29"/>
        <v>0</v>
      </c>
      <c r="J89" s="10">
        <f>6409.5278311*E89*F89</f>
        <v>7665.795285995599</v>
      </c>
      <c r="K89" s="10">
        <f>494.9041695885*E89*F89</f>
        <v>591.905386827846</v>
      </c>
      <c r="L89" s="10"/>
      <c r="M89" s="35">
        <f t="shared" si="30"/>
        <v>17503.487867623444</v>
      </c>
      <c r="N89" s="75">
        <f t="shared" si="25"/>
        <v>0.45681928874682753</v>
      </c>
      <c r="O89" s="71">
        <f t="shared" si="31"/>
        <v>0.5390467607212565</v>
      </c>
      <c r="P89" s="189"/>
    </row>
    <row r="90" spans="2:16" ht="12">
      <c r="B90" s="7">
        <v>65</v>
      </c>
      <c r="C90" s="8" t="s">
        <v>126</v>
      </c>
      <c r="D90" s="8" t="s">
        <v>127</v>
      </c>
      <c r="E90" s="9">
        <v>8</v>
      </c>
      <c r="F90" s="9">
        <v>3</v>
      </c>
      <c r="G90" s="10">
        <f>109.92072*E90*F90</f>
        <v>2638.09728</v>
      </c>
      <c r="H90" s="10">
        <f>72.99124896*E90*F90</f>
        <v>1751.7899750399997</v>
      </c>
      <c r="I90" s="10">
        <f>65.2428*E90*F90</f>
        <v>1565.8272000000002</v>
      </c>
      <c r="J90" s="10">
        <f>92.22348408*E90*F90</f>
        <v>2213.3636179200003</v>
      </c>
      <c r="K90" s="10">
        <f>11.9132388564*E90*F90</f>
        <v>285.9177325536</v>
      </c>
      <c r="L90" s="10"/>
      <c r="M90" s="35">
        <f t="shared" si="30"/>
        <v>8454.9958055136</v>
      </c>
      <c r="N90" s="75">
        <f t="shared" si="25"/>
        <v>0.22066488687528968</v>
      </c>
      <c r="O90" s="71">
        <f t="shared" si="31"/>
        <v>0.2603845665128418</v>
      </c>
      <c r="P90" s="189"/>
    </row>
    <row r="91" spans="2:16" ht="12">
      <c r="B91" s="7">
        <v>66</v>
      </c>
      <c r="C91" s="8" t="s">
        <v>128</v>
      </c>
      <c r="D91" s="8" t="s">
        <v>129</v>
      </c>
      <c r="E91" s="9">
        <v>0.005</v>
      </c>
      <c r="F91" s="9">
        <v>1</v>
      </c>
      <c r="G91" s="10">
        <f>16477.8263*E91*F91</f>
        <v>82.3891315</v>
      </c>
      <c r="H91" s="10">
        <f>0*E91*F91</f>
        <v>0</v>
      </c>
      <c r="I91" s="10">
        <f>176562.1368*E91*F91</f>
        <v>882.810684</v>
      </c>
      <c r="J91" s="10">
        <f>41418.8327077*E91*F91</f>
        <v>207.0941635385</v>
      </c>
      <c r="K91" s="10">
        <f>8206.0578532695*E91*F91</f>
        <v>41.0302892663475</v>
      </c>
      <c r="L91" s="10"/>
      <c r="M91" s="35">
        <f t="shared" si="30"/>
        <v>1213.3242683048477</v>
      </c>
      <c r="N91" s="75">
        <f t="shared" si="25"/>
        <v>0.03166625608896669</v>
      </c>
      <c r="O91" s="71">
        <f t="shared" si="31"/>
        <v>0.037366182184980695</v>
      </c>
      <c r="P91" s="189"/>
    </row>
    <row r="92" spans="2:16" ht="36">
      <c r="B92" s="7">
        <v>67</v>
      </c>
      <c r="C92" s="8" t="s">
        <v>130</v>
      </c>
      <c r="D92" s="8" t="s">
        <v>131</v>
      </c>
      <c r="E92" s="9">
        <v>0.035</v>
      </c>
      <c r="F92" s="9">
        <v>15</v>
      </c>
      <c r="G92" s="10">
        <f>1388.8349*E92*F92</f>
        <v>729.1383225000001</v>
      </c>
      <c r="H92" s="10">
        <f>70.703731*E92*F92</f>
        <v>37.119458775000005</v>
      </c>
      <c r="I92" s="10">
        <f>0*E92*F92</f>
        <v>0</v>
      </c>
      <c r="J92" s="10">
        <f>1165.2324811*E92*F92</f>
        <v>611.7470525775001</v>
      </c>
      <c r="K92" s="10">
        <f>91.8669889235*E92*F92</f>
        <v>48.23016918483751</v>
      </c>
      <c r="L92" s="10"/>
      <c r="M92" s="35">
        <f t="shared" si="30"/>
        <v>1426.2350030373377</v>
      </c>
      <c r="N92" s="75">
        <f t="shared" si="25"/>
        <v>0.037222961766294436</v>
      </c>
      <c r="O92" s="71">
        <f t="shared" si="31"/>
        <v>0.04392309488422743</v>
      </c>
      <c r="P92" s="189"/>
    </row>
    <row r="93" spans="2:16" ht="12">
      <c r="B93" s="7">
        <v>68</v>
      </c>
      <c r="C93" s="8" t="s">
        <v>132</v>
      </c>
      <c r="D93" s="8" t="s">
        <v>133</v>
      </c>
      <c r="E93" s="9">
        <v>0.5</v>
      </c>
      <c r="F93" s="9">
        <v>15</v>
      </c>
      <c r="G93" s="10">
        <f>16.864849*E93*F93</f>
        <v>126.4863675</v>
      </c>
      <c r="H93" s="10">
        <f>680.5035825*E93*F93</f>
        <v>5103.77686875</v>
      </c>
      <c r="I93" s="10">
        <f>0*E93*F93</f>
        <v>0</v>
      </c>
      <c r="J93" s="10">
        <f>14.149608311*E93*F93</f>
        <v>106.1220623325</v>
      </c>
      <c r="K93" s="10">
        <f>24.903131393385*E93*F93</f>
        <v>186.77348545038748</v>
      </c>
      <c r="L93" s="10"/>
      <c r="M93" s="35">
        <f t="shared" si="30"/>
        <v>5523.1587840328875</v>
      </c>
      <c r="N93" s="75">
        <f t="shared" si="25"/>
        <v>0.14414758283831525</v>
      </c>
      <c r="O93" s="71">
        <f t="shared" si="31"/>
        <v>0.17009414774921197</v>
      </c>
      <c r="P93" s="189"/>
    </row>
    <row r="94" spans="2:16" ht="12">
      <c r="B94" s="7">
        <v>69</v>
      </c>
      <c r="C94" s="8" t="s">
        <v>134</v>
      </c>
      <c r="D94" s="8" t="s">
        <v>127</v>
      </c>
      <c r="E94" s="9">
        <v>0.064</v>
      </c>
      <c r="F94" s="9">
        <v>296</v>
      </c>
      <c r="G94" s="10">
        <f>144.6579*E94*F94</f>
        <v>2740.3992576</v>
      </c>
      <c r="H94" s="10">
        <f>1.51844*E94*F94</f>
        <v>28.76532736</v>
      </c>
      <c r="I94" s="10">
        <f>0*E94*F94</f>
        <v>0</v>
      </c>
      <c r="J94" s="10">
        <f>121.3679781*E94*F94</f>
        <v>2299.1949771264003</v>
      </c>
      <c r="K94" s="10">
        <f>9.3640511335*E94*F94</f>
        <v>177.39258467302403</v>
      </c>
      <c r="L94" s="10"/>
      <c r="M94" s="35">
        <f t="shared" si="30"/>
        <v>5245.752146759424</v>
      </c>
      <c r="N94" s="75">
        <f t="shared" si="25"/>
        <v>0.13690761422798373</v>
      </c>
      <c r="O94" s="71">
        <f t="shared" si="31"/>
        <v>0.1615509847890208</v>
      </c>
      <c r="P94" s="189"/>
    </row>
    <row r="95" spans="2:16" ht="17.25" customHeight="1">
      <c r="B95" s="7"/>
      <c r="C95" s="24" t="s">
        <v>344</v>
      </c>
      <c r="D95" s="25"/>
      <c r="E95" s="24"/>
      <c r="F95" s="24"/>
      <c r="G95" s="26">
        <f aca="true" t="shared" si="32" ref="G95:M95">SUM(G84:G94)</f>
        <v>31229.746304299995</v>
      </c>
      <c r="H95" s="26">
        <f t="shared" si="32"/>
        <v>7676.577989941</v>
      </c>
      <c r="I95" s="26">
        <f t="shared" si="32"/>
        <v>2448.637884</v>
      </c>
      <c r="J95" s="26">
        <f t="shared" si="32"/>
        <v>26339.726831517695</v>
      </c>
      <c r="K95" s="26">
        <f t="shared" si="32"/>
        <v>2369.3141153415545</v>
      </c>
      <c r="L95" s="26">
        <f t="shared" si="32"/>
        <v>0</v>
      </c>
      <c r="M95" s="36">
        <f t="shared" si="32"/>
        <v>70064.00312510025</v>
      </c>
      <c r="N95" s="78"/>
      <c r="O95" s="43"/>
      <c r="P95" s="58"/>
    </row>
    <row r="96" spans="2:16" ht="15">
      <c r="B96" s="7"/>
      <c r="C96" s="101" t="s">
        <v>343</v>
      </c>
      <c r="D96" s="8"/>
      <c r="E96" s="9"/>
      <c r="F96" s="9"/>
      <c r="G96" s="10"/>
      <c r="H96" s="10"/>
      <c r="I96" s="10"/>
      <c r="J96" s="10"/>
      <c r="K96" s="10"/>
      <c r="L96" s="10"/>
      <c r="M96" s="35"/>
      <c r="N96" s="75"/>
      <c r="O96" s="71"/>
      <c r="P96" s="58"/>
    </row>
    <row r="97" spans="2:16" ht="15" customHeight="1">
      <c r="B97" s="7"/>
      <c r="C97" s="8" t="s">
        <v>135</v>
      </c>
      <c r="D97" s="8"/>
      <c r="E97" s="9"/>
      <c r="F97" s="9"/>
      <c r="G97" s="10"/>
      <c r="H97" s="10"/>
      <c r="I97" s="10"/>
      <c r="J97" s="10"/>
      <c r="K97" s="10"/>
      <c r="L97" s="10"/>
      <c r="M97" s="35">
        <f>1.36*3193*12/1.18</f>
        <v>44160.81355932203</v>
      </c>
      <c r="N97" s="75">
        <f t="shared" si="25"/>
        <v>1.1525423728813557</v>
      </c>
      <c r="O97" s="71">
        <f>N97*1.18</f>
        <v>1.3599999999999997</v>
      </c>
      <c r="P97" s="59">
        <f>O97</f>
        <v>1.3599999999999997</v>
      </c>
    </row>
    <row r="98" spans="2:16" ht="15" customHeight="1">
      <c r="B98" s="7"/>
      <c r="C98" s="8" t="s">
        <v>136</v>
      </c>
      <c r="D98" s="8"/>
      <c r="E98" s="9"/>
      <c r="F98" s="9"/>
      <c r="G98" s="10"/>
      <c r="H98" s="10"/>
      <c r="I98" s="10"/>
      <c r="J98" s="10"/>
      <c r="K98" s="10"/>
      <c r="L98" s="10"/>
      <c r="M98" s="35"/>
      <c r="N98" s="75"/>
      <c r="O98" s="71"/>
      <c r="P98" s="59"/>
    </row>
    <row r="99" spans="2:16" ht="15" customHeight="1">
      <c r="B99" s="7"/>
      <c r="C99" s="8" t="s">
        <v>137</v>
      </c>
      <c r="D99" s="8"/>
      <c r="E99" s="9"/>
      <c r="F99" s="9"/>
      <c r="G99" s="10"/>
      <c r="H99" s="10"/>
      <c r="I99" s="10"/>
      <c r="J99" s="10"/>
      <c r="K99" s="10"/>
      <c r="L99" s="10"/>
      <c r="M99" s="35">
        <f>0.14*3193*12/1.18</f>
        <v>4545.966101694916</v>
      </c>
      <c r="N99" s="75">
        <f t="shared" si="25"/>
        <v>0.11864406779661019</v>
      </c>
      <c r="O99" s="71">
        <f>N99*1.18</f>
        <v>0.14</v>
      </c>
      <c r="P99" s="59">
        <f>O99</f>
        <v>0.14</v>
      </c>
    </row>
    <row r="100" spans="2:16" ht="15" customHeight="1">
      <c r="B100" s="7"/>
      <c r="C100" s="8" t="s">
        <v>138</v>
      </c>
      <c r="D100" s="8"/>
      <c r="E100" s="9"/>
      <c r="F100" s="9"/>
      <c r="G100" s="10"/>
      <c r="H100" s="10"/>
      <c r="I100" s="10"/>
      <c r="J100" s="10"/>
      <c r="K100" s="10"/>
      <c r="L100" s="10"/>
      <c r="M100" s="35">
        <f>0.1*3193*12/1.18</f>
        <v>3247.118644067797</v>
      </c>
      <c r="N100" s="75">
        <f t="shared" si="25"/>
        <v>0.08474576271186442</v>
      </c>
      <c r="O100" s="71">
        <f>N100*1.18</f>
        <v>0.1</v>
      </c>
      <c r="P100" s="59">
        <f>O100</f>
        <v>0.1</v>
      </c>
    </row>
    <row r="101" spans="2:16" ht="18.75" customHeight="1" thickBot="1">
      <c r="B101" s="29"/>
      <c r="C101" s="56" t="s">
        <v>339</v>
      </c>
      <c r="D101" s="30"/>
      <c r="E101" s="31"/>
      <c r="F101" s="31"/>
      <c r="G101" s="32"/>
      <c r="H101" s="32"/>
      <c r="I101" s="32"/>
      <c r="J101" s="32"/>
      <c r="K101" s="32"/>
      <c r="L101" s="32"/>
      <c r="M101" s="163">
        <f>N101*12*3193</f>
        <v>29120.160000000003</v>
      </c>
      <c r="N101" s="164">
        <v>0.76</v>
      </c>
      <c r="O101" s="60">
        <f>N101*1.18</f>
        <v>0.8967999999999999</v>
      </c>
      <c r="P101" s="60">
        <f>O101</f>
        <v>0.8967999999999999</v>
      </c>
    </row>
    <row r="102" spans="2:16" ht="28.5" customHeight="1" thickBot="1">
      <c r="B102" s="44"/>
      <c r="C102" s="45" t="s">
        <v>139</v>
      </c>
      <c r="D102" s="46"/>
      <c r="E102" s="46"/>
      <c r="F102" s="47"/>
      <c r="G102" s="48">
        <f aca="true" t="shared" si="33" ref="G102:L102">G95+G82+G75+G72+G69+G59+G42+G37+G33+G24+G13</f>
        <v>147424.77638227527</v>
      </c>
      <c r="H102" s="48">
        <f t="shared" si="33"/>
        <v>107985.48907387699</v>
      </c>
      <c r="I102" s="48">
        <f t="shared" si="33"/>
        <v>2678.6715984</v>
      </c>
      <c r="J102" s="48">
        <f t="shared" si="33"/>
        <v>123931.08010733157</v>
      </c>
      <c r="K102" s="48">
        <f t="shared" si="33"/>
        <v>13370.700650665902</v>
      </c>
      <c r="L102" s="48">
        <f t="shared" si="33"/>
        <v>0</v>
      </c>
      <c r="M102" s="49">
        <f>M95+M82+M75+M72+M69+M59+M42+M37+M33+M24+M13+M97+M98+M99+M100+M101</f>
        <v>476515.47611763456</v>
      </c>
      <c r="N102" s="81">
        <f>SUM(N6:N101)</f>
        <v>12.436461951081387</v>
      </c>
      <c r="O102" s="55">
        <f>SUM(O6:O101)</f>
        <v>14.675025102276035</v>
      </c>
      <c r="P102" s="82">
        <f>SUM(P6:P101)</f>
        <v>14.675025102276038</v>
      </c>
    </row>
    <row r="103" ht="12">
      <c r="M103" s="109">
        <f>M102/12/3193</f>
        <v>12.436461951081391</v>
      </c>
    </row>
    <row r="106" spans="4:11" ht="19.5">
      <c r="D106" s="192" t="s">
        <v>140</v>
      </c>
      <c r="E106" s="192"/>
      <c r="F106" s="192"/>
      <c r="G106" s="192"/>
      <c r="H106" s="192"/>
      <c r="I106" s="192"/>
      <c r="J106" s="192"/>
      <c r="K106" s="192"/>
    </row>
    <row r="107" spans="4:11" ht="15.75">
      <c r="D107" s="13" t="s">
        <v>141</v>
      </c>
      <c r="E107" s="186">
        <f>G102</f>
        <v>147424.77638227527</v>
      </c>
      <c r="F107" s="186"/>
      <c r="G107" s="14"/>
      <c r="H107" s="14"/>
      <c r="I107" s="13" t="s">
        <v>142</v>
      </c>
      <c r="J107" s="186">
        <f>J102</f>
        <v>123931.08010733157</v>
      </c>
      <c r="K107" s="186"/>
    </row>
    <row r="108" spans="4:11" ht="15.75">
      <c r="D108" s="13" t="s">
        <v>143</v>
      </c>
      <c r="E108" s="186">
        <f>H102</f>
        <v>107985.48907387699</v>
      </c>
      <c r="F108" s="186"/>
      <c r="G108" s="14"/>
      <c r="H108" s="14"/>
      <c r="I108" s="13" t="s">
        <v>144</v>
      </c>
      <c r="J108" s="186">
        <f>K102</f>
        <v>13370.700650665902</v>
      </c>
      <c r="K108" s="186"/>
    </row>
    <row r="109" spans="4:11" ht="15.75">
      <c r="D109" s="13" t="s">
        <v>145</v>
      </c>
      <c r="E109" s="186">
        <f>I102</f>
        <v>2678.6715984</v>
      </c>
      <c r="F109" s="186"/>
      <c r="G109" s="14"/>
      <c r="H109" s="14"/>
      <c r="I109" s="13" t="s">
        <v>146</v>
      </c>
      <c r="J109" s="186">
        <f>L102</f>
        <v>0</v>
      </c>
      <c r="K109" s="186"/>
    </row>
    <row r="110" spans="4:11" ht="15.75">
      <c r="D110" s="13"/>
      <c r="E110" s="14"/>
      <c r="F110" s="14"/>
      <c r="G110" s="14"/>
      <c r="H110" s="14"/>
      <c r="I110" s="13" t="s">
        <v>147</v>
      </c>
      <c r="J110" s="186">
        <f>M102</f>
        <v>476515.47611763456</v>
      </c>
      <c r="K110" s="186"/>
    </row>
  </sheetData>
  <sheetProtection selectLockedCells="1" selectUnlockedCells="1"/>
  <mergeCells count="30">
    <mergeCell ref="B25:M25"/>
    <mergeCell ref="C34:M34"/>
    <mergeCell ref="B1:M1"/>
    <mergeCell ref="B4:M4"/>
    <mergeCell ref="B5:M5"/>
    <mergeCell ref="B14:M14"/>
    <mergeCell ref="B60:M60"/>
    <mergeCell ref="C70:M70"/>
    <mergeCell ref="B73:M73"/>
    <mergeCell ref="C76:M76"/>
    <mergeCell ref="E109:F109"/>
    <mergeCell ref="J109:K109"/>
    <mergeCell ref="E108:F108"/>
    <mergeCell ref="J108:K108"/>
    <mergeCell ref="E107:F107"/>
    <mergeCell ref="J107:K107"/>
    <mergeCell ref="P77:P81"/>
    <mergeCell ref="P84:P94"/>
    <mergeCell ref="C83:M83"/>
    <mergeCell ref="D106:K106"/>
    <mergeCell ref="J110:K110"/>
    <mergeCell ref="P6:P12"/>
    <mergeCell ref="P15:P23"/>
    <mergeCell ref="P26:P32"/>
    <mergeCell ref="P35:P36"/>
    <mergeCell ref="P39:P41"/>
    <mergeCell ref="P45:P58"/>
    <mergeCell ref="P61:P68"/>
    <mergeCell ref="B38:M38"/>
    <mergeCell ref="B44:M44"/>
  </mergeCells>
  <printOptions/>
  <pageMargins left="0.35" right="0.35" top="0.35" bottom="0.35" header="0.5118055555555555" footer="0.3"/>
  <pageSetup fitToHeight="0" fitToWidth="1" horizontalDpi="300" verticalDpi="300" orientation="landscape" paperSize="9" scale="68" r:id="rId1"/>
  <headerFooter alignWithMargins="0">
    <oddFooter>&amp;C- &amp;P -</oddFooter>
  </headerFooter>
  <rowBreaks count="2" manualBreakCount="2">
    <brk id="33" max="255" man="1"/>
    <brk id="7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6"/>
  <sheetViews>
    <sheetView zoomScale="89" zoomScaleNormal="89" zoomScalePageLayoutView="0" workbookViewId="0" topLeftCell="B1">
      <selection activeCell="C37" sqref="C37"/>
    </sheetView>
  </sheetViews>
  <sheetFormatPr defaultColWidth="9.140625" defaultRowHeight="12"/>
  <cols>
    <col min="1" max="1" width="0" style="1" hidden="1" customWidth="1"/>
    <col min="2" max="2" width="7.00390625" style="1" customWidth="1"/>
    <col min="3" max="3" width="60.00390625" style="1" customWidth="1"/>
    <col min="4" max="4" width="13.00390625" style="1" customWidth="1"/>
    <col min="5" max="5" width="11.00390625" style="1" customWidth="1"/>
    <col min="6" max="6" width="13.00390625" style="1" customWidth="1"/>
    <col min="7" max="7" width="15.00390625" style="1" customWidth="1"/>
  </cols>
  <sheetData>
    <row r="1" spans="2:7" ht="27.75" customHeight="1">
      <c r="B1" s="193" t="s">
        <v>148</v>
      </c>
      <c r="C1" s="193"/>
      <c r="D1" s="193"/>
      <c r="E1" s="193"/>
      <c r="F1" s="193"/>
      <c r="G1" s="193"/>
    </row>
    <row r="3" spans="1:7" ht="27">
      <c r="A3" s="2"/>
      <c r="B3" s="4" t="s">
        <v>1</v>
      </c>
      <c r="C3" s="4" t="s">
        <v>149</v>
      </c>
      <c r="D3" s="5" t="s">
        <v>150</v>
      </c>
      <c r="E3" s="5" t="s">
        <v>4</v>
      </c>
      <c r="F3" s="5" t="s">
        <v>151</v>
      </c>
      <c r="G3" s="6" t="s">
        <v>12</v>
      </c>
    </row>
    <row r="4" spans="2:7" ht="12.75" customHeight="1">
      <c r="B4" s="183" t="s">
        <v>152</v>
      </c>
      <c r="C4" s="183"/>
      <c r="D4" s="183"/>
      <c r="E4" s="183"/>
      <c r="F4" s="183"/>
      <c r="G4" s="183"/>
    </row>
    <row r="5" spans="2:7" ht="12">
      <c r="B5" s="15">
        <v>1</v>
      </c>
      <c r="C5" s="16" t="s">
        <v>153</v>
      </c>
      <c r="D5" s="16" t="s">
        <v>154</v>
      </c>
      <c r="E5" s="17">
        <v>0.776</v>
      </c>
      <c r="F5" s="18">
        <v>93.47</v>
      </c>
      <c r="G5" s="19">
        <f aca="true" t="shared" si="0" ref="G5:G46">E5*F5</f>
        <v>72.53272</v>
      </c>
    </row>
    <row r="6" spans="2:7" ht="12">
      <c r="B6" s="7">
        <v>2</v>
      </c>
      <c r="C6" s="8" t="s">
        <v>155</v>
      </c>
      <c r="D6" s="8" t="s">
        <v>154</v>
      </c>
      <c r="E6" s="20">
        <v>1.552</v>
      </c>
      <c r="F6" s="10">
        <v>100.94760000000002</v>
      </c>
      <c r="G6" s="11">
        <f t="shared" si="0"/>
        <v>156.67067520000003</v>
      </c>
    </row>
    <row r="7" spans="2:7" ht="12">
      <c r="B7" s="7">
        <v>3</v>
      </c>
      <c r="C7" s="8" t="s">
        <v>156</v>
      </c>
      <c r="D7" s="8" t="s">
        <v>154</v>
      </c>
      <c r="E7" s="20">
        <v>2.328</v>
      </c>
      <c r="F7" s="10">
        <v>112.164</v>
      </c>
      <c r="G7" s="11">
        <f t="shared" si="0"/>
        <v>261.117792</v>
      </c>
    </row>
    <row r="8" spans="2:7" ht="12">
      <c r="B8" s="7">
        <v>4</v>
      </c>
      <c r="C8" s="8" t="s">
        <v>157</v>
      </c>
      <c r="D8" s="8" t="s">
        <v>154</v>
      </c>
      <c r="E8" s="20">
        <v>0.776</v>
      </c>
      <c r="F8" s="10">
        <v>126.18450000000001</v>
      </c>
      <c r="G8" s="11">
        <f t="shared" si="0"/>
        <v>97.91917200000002</v>
      </c>
    </row>
    <row r="9" spans="2:7" ht="12">
      <c r="B9" s="7">
        <v>5</v>
      </c>
      <c r="C9" s="8" t="s">
        <v>158</v>
      </c>
      <c r="D9" s="8" t="s">
        <v>154</v>
      </c>
      <c r="E9" s="20">
        <v>749.8432</v>
      </c>
      <c r="F9" s="21">
        <v>59.53</v>
      </c>
      <c r="G9" s="11">
        <f t="shared" si="0"/>
        <v>44638.165696000004</v>
      </c>
    </row>
    <row r="10" spans="2:7" ht="12">
      <c r="B10" s="7">
        <v>6</v>
      </c>
      <c r="C10" s="8" t="s">
        <v>159</v>
      </c>
      <c r="D10" s="8" t="s">
        <v>154</v>
      </c>
      <c r="E10" s="20">
        <v>35.1</v>
      </c>
      <c r="F10" s="10">
        <v>112.164</v>
      </c>
      <c r="G10" s="11">
        <f t="shared" si="0"/>
        <v>3936.9564</v>
      </c>
    </row>
    <row r="11" spans="2:7" ht="12">
      <c r="B11" s="7">
        <v>7</v>
      </c>
      <c r="C11" s="8" t="s">
        <v>160</v>
      </c>
      <c r="D11" s="8" t="s">
        <v>154</v>
      </c>
      <c r="E11" s="20">
        <v>10.32</v>
      </c>
      <c r="F11" s="10">
        <v>100.94760000000002</v>
      </c>
      <c r="G11" s="11">
        <f t="shared" si="0"/>
        <v>1041.7792320000003</v>
      </c>
    </row>
    <row r="12" spans="2:7" ht="12">
      <c r="B12" s="7">
        <v>8</v>
      </c>
      <c r="C12" s="8" t="s">
        <v>161</v>
      </c>
      <c r="D12" s="8" t="s">
        <v>154</v>
      </c>
      <c r="E12" s="20">
        <v>10.32</v>
      </c>
      <c r="F12" s="10">
        <v>112.164</v>
      </c>
      <c r="G12" s="11">
        <f t="shared" si="0"/>
        <v>1157.53248</v>
      </c>
    </row>
    <row r="13" spans="2:7" ht="12">
      <c r="B13" s="7">
        <v>9</v>
      </c>
      <c r="C13" s="8" t="s">
        <v>162</v>
      </c>
      <c r="D13" s="8" t="s">
        <v>154</v>
      </c>
      <c r="E13" s="20">
        <v>30.093</v>
      </c>
      <c r="F13" s="21">
        <v>123</v>
      </c>
      <c r="G13" s="11">
        <f t="shared" si="0"/>
        <v>3701.439</v>
      </c>
    </row>
    <row r="14" spans="2:7" ht="12">
      <c r="B14" s="7">
        <v>10</v>
      </c>
      <c r="C14" s="8" t="s">
        <v>163</v>
      </c>
      <c r="D14" s="8" t="s">
        <v>154</v>
      </c>
      <c r="E14" s="20">
        <v>7.9325</v>
      </c>
      <c r="F14" s="10">
        <v>126.18450000000001</v>
      </c>
      <c r="G14" s="11">
        <f t="shared" si="0"/>
        <v>1000.9585462500002</v>
      </c>
    </row>
    <row r="15" spans="2:7" ht="12">
      <c r="B15" s="7">
        <v>11</v>
      </c>
      <c r="C15" s="8" t="s">
        <v>164</v>
      </c>
      <c r="D15" s="8" t="s">
        <v>154</v>
      </c>
      <c r="E15" s="20">
        <v>71.325</v>
      </c>
      <c r="F15" s="10">
        <v>143.9438</v>
      </c>
      <c r="G15" s="11">
        <f t="shared" si="0"/>
        <v>10266.791535</v>
      </c>
    </row>
    <row r="16" spans="2:7" ht="12">
      <c r="B16" s="7">
        <v>12</v>
      </c>
      <c r="C16" s="8" t="s">
        <v>165</v>
      </c>
      <c r="D16" s="8" t="s">
        <v>154</v>
      </c>
      <c r="E16" s="20">
        <v>0.6</v>
      </c>
      <c r="F16" s="10">
        <v>112.164</v>
      </c>
      <c r="G16" s="11">
        <f t="shared" si="0"/>
        <v>67.2984</v>
      </c>
    </row>
    <row r="17" spans="2:7" ht="24">
      <c r="B17" s="7">
        <v>13</v>
      </c>
      <c r="C17" s="8" t="s">
        <v>166</v>
      </c>
      <c r="D17" s="8" t="s">
        <v>154</v>
      </c>
      <c r="E17" s="20">
        <v>23.4</v>
      </c>
      <c r="F17" s="10">
        <v>100.94760000000002</v>
      </c>
      <c r="G17" s="11">
        <f t="shared" si="0"/>
        <v>2362.1738400000004</v>
      </c>
    </row>
    <row r="18" spans="2:7" ht="24">
      <c r="B18" s="7">
        <v>14</v>
      </c>
      <c r="C18" s="8" t="s">
        <v>167</v>
      </c>
      <c r="D18" s="8" t="s">
        <v>154</v>
      </c>
      <c r="E18" s="20">
        <v>23.4</v>
      </c>
      <c r="F18" s="10">
        <v>112.164</v>
      </c>
      <c r="G18" s="11">
        <f t="shared" si="0"/>
        <v>2624.6376</v>
      </c>
    </row>
    <row r="19" spans="2:7" ht="24">
      <c r="B19" s="7">
        <v>15</v>
      </c>
      <c r="C19" s="8" t="s">
        <v>168</v>
      </c>
      <c r="D19" s="8" t="s">
        <v>154</v>
      </c>
      <c r="E19" s="20">
        <v>3.92</v>
      </c>
      <c r="F19" s="21">
        <v>133.87</v>
      </c>
      <c r="G19" s="11">
        <f t="shared" si="0"/>
        <v>524.7704</v>
      </c>
    </row>
    <row r="20" spans="2:7" ht="12">
      <c r="B20" s="7">
        <v>16</v>
      </c>
      <c r="C20" s="8" t="s">
        <v>169</v>
      </c>
      <c r="D20" s="8" t="s">
        <v>154</v>
      </c>
      <c r="E20" s="20">
        <v>10.075</v>
      </c>
      <c r="F20" s="10">
        <v>100.94760000000002</v>
      </c>
      <c r="G20" s="11">
        <f t="shared" si="0"/>
        <v>1017.0470700000002</v>
      </c>
    </row>
    <row r="21" spans="2:7" ht="12">
      <c r="B21" s="7">
        <v>17</v>
      </c>
      <c r="C21" s="8" t="s">
        <v>170</v>
      </c>
      <c r="D21" s="8" t="s">
        <v>154</v>
      </c>
      <c r="E21" s="20">
        <v>10.075</v>
      </c>
      <c r="F21" s="10">
        <v>112.164</v>
      </c>
      <c r="G21" s="11">
        <f t="shared" si="0"/>
        <v>1130.0522999999998</v>
      </c>
    </row>
    <row r="22" spans="2:7" ht="12">
      <c r="B22" s="7">
        <v>18</v>
      </c>
      <c r="C22" s="8" t="s">
        <v>171</v>
      </c>
      <c r="D22" s="8" t="s">
        <v>154</v>
      </c>
      <c r="E22" s="20">
        <v>4.06</v>
      </c>
      <c r="F22" s="10">
        <v>126.18450000000001</v>
      </c>
      <c r="G22" s="11">
        <f t="shared" si="0"/>
        <v>512.30907</v>
      </c>
    </row>
    <row r="23" spans="2:7" ht="12">
      <c r="B23" s="7">
        <v>19</v>
      </c>
      <c r="C23" s="8" t="s">
        <v>172</v>
      </c>
      <c r="D23" s="8" t="s">
        <v>154</v>
      </c>
      <c r="E23" s="20">
        <v>6</v>
      </c>
      <c r="F23" s="10">
        <v>143.9438</v>
      </c>
      <c r="G23" s="11">
        <f t="shared" si="0"/>
        <v>863.6628000000001</v>
      </c>
    </row>
    <row r="24" spans="2:7" ht="24">
      <c r="B24" s="7">
        <v>20</v>
      </c>
      <c r="C24" s="8" t="s">
        <v>173</v>
      </c>
      <c r="D24" s="8" t="s">
        <v>154</v>
      </c>
      <c r="E24" s="20">
        <v>6</v>
      </c>
      <c r="F24" s="10">
        <v>126.18450000000001</v>
      </c>
      <c r="G24" s="11">
        <f t="shared" si="0"/>
        <v>757.1070000000001</v>
      </c>
    </row>
    <row r="25" spans="2:7" ht="24">
      <c r="B25" s="7">
        <v>21</v>
      </c>
      <c r="C25" s="8" t="s">
        <v>174</v>
      </c>
      <c r="D25" s="8" t="s">
        <v>154</v>
      </c>
      <c r="E25" s="20">
        <v>1.05</v>
      </c>
      <c r="F25" s="10">
        <v>143.9438</v>
      </c>
      <c r="G25" s="11">
        <f t="shared" si="0"/>
        <v>151.14099000000002</v>
      </c>
    </row>
    <row r="26" spans="2:7" ht="12">
      <c r="B26" s="7">
        <v>22</v>
      </c>
      <c r="C26" s="8" t="s">
        <v>175</v>
      </c>
      <c r="D26" s="8" t="s">
        <v>154</v>
      </c>
      <c r="E26" s="20">
        <v>0.776</v>
      </c>
      <c r="F26" s="10">
        <v>93.47</v>
      </c>
      <c r="G26" s="11">
        <f t="shared" si="0"/>
        <v>72.53272</v>
      </c>
    </row>
    <row r="27" spans="2:7" ht="12">
      <c r="B27" s="7">
        <v>23</v>
      </c>
      <c r="C27" s="8" t="s">
        <v>176</v>
      </c>
      <c r="D27" s="8" t="s">
        <v>154</v>
      </c>
      <c r="E27" s="20">
        <v>66.20586</v>
      </c>
      <c r="F27" s="10">
        <v>112.164</v>
      </c>
      <c r="G27" s="11">
        <f t="shared" si="0"/>
        <v>7425.91408104</v>
      </c>
    </row>
    <row r="28" spans="2:7" ht="12">
      <c r="B28" s="7">
        <v>24</v>
      </c>
      <c r="C28" s="8" t="s">
        <v>177</v>
      </c>
      <c r="D28" s="8" t="s">
        <v>154</v>
      </c>
      <c r="E28" s="20">
        <v>0.305</v>
      </c>
      <c r="F28" s="10">
        <v>126.18450000000001</v>
      </c>
      <c r="G28" s="11">
        <f t="shared" si="0"/>
        <v>38.486272500000005</v>
      </c>
    </row>
    <row r="29" spans="2:7" ht="12">
      <c r="B29" s="7">
        <v>25</v>
      </c>
      <c r="C29" s="8" t="s">
        <v>178</v>
      </c>
      <c r="D29" s="8" t="s">
        <v>154</v>
      </c>
      <c r="E29" s="20">
        <v>0.305</v>
      </c>
      <c r="F29" s="10">
        <v>143.9438</v>
      </c>
      <c r="G29" s="11">
        <f t="shared" si="0"/>
        <v>43.902859</v>
      </c>
    </row>
    <row r="30" spans="2:7" ht="24">
      <c r="B30" s="7">
        <v>26</v>
      </c>
      <c r="C30" s="8" t="s">
        <v>179</v>
      </c>
      <c r="D30" s="8" t="s">
        <v>154</v>
      </c>
      <c r="E30" s="20">
        <v>177.68453305</v>
      </c>
      <c r="F30" s="10">
        <v>100.94760000000002</v>
      </c>
      <c r="G30" s="11">
        <f t="shared" si="0"/>
        <v>17936.827168518183</v>
      </c>
    </row>
    <row r="31" spans="2:7" ht="24">
      <c r="B31" s="7">
        <v>27</v>
      </c>
      <c r="C31" s="8" t="s">
        <v>180</v>
      </c>
      <c r="D31" s="8" t="s">
        <v>154</v>
      </c>
      <c r="E31" s="20">
        <v>0.6445</v>
      </c>
      <c r="F31" s="10">
        <v>112.164</v>
      </c>
      <c r="G31" s="11">
        <f t="shared" si="0"/>
        <v>72.289698</v>
      </c>
    </row>
    <row r="32" spans="2:7" ht="24">
      <c r="B32" s="7">
        <v>28</v>
      </c>
      <c r="C32" s="8" t="s">
        <v>181</v>
      </c>
      <c r="D32" s="8" t="s">
        <v>154</v>
      </c>
      <c r="E32" s="20">
        <v>56.23092</v>
      </c>
      <c r="F32" s="21">
        <v>0.01</v>
      </c>
      <c r="G32" s="11">
        <f t="shared" si="0"/>
        <v>0.5623092</v>
      </c>
    </row>
    <row r="33" spans="2:7" ht="12">
      <c r="B33" s="7">
        <v>29</v>
      </c>
      <c r="C33" s="8" t="s">
        <v>182</v>
      </c>
      <c r="D33" s="8" t="s">
        <v>154</v>
      </c>
      <c r="E33" s="20">
        <v>40.1116</v>
      </c>
      <c r="F33" s="10">
        <v>112.164</v>
      </c>
      <c r="G33" s="11">
        <f t="shared" si="0"/>
        <v>4499.0775024</v>
      </c>
    </row>
    <row r="34" spans="2:7" ht="12">
      <c r="B34" s="7">
        <v>30</v>
      </c>
      <c r="C34" s="8" t="s">
        <v>183</v>
      </c>
      <c r="D34" s="8" t="s">
        <v>154</v>
      </c>
      <c r="E34" s="20">
        <v>68.792</v>
      </c>
      <c r="F34" s="10">
        <v>100.94760000000002</v>
      </c>
      <c r="G34" s="11">
        <f t="shared" si="0"/>
        <v>6944.3872992000015</v>
      </c>
    </row>
    <row r="35" spans="2:7" ht="12">
      <c r="B35" s="7">
        <v>31</v>
      </c>
      <c r="C35" s="8" t="s">
        <v>184</v>
      </c>
      <c r="D35" s="8" t="s">
        <v>154</v>
      </c>
      <c r="E35" s="20">
        <v>100.00666659</v>
      </c>
      <c r="F35" s="10">
        <v>112.164</v>
      </c>
      <c r="G35" s="11">
        <f t="shared" si="0"/>
        <v>11217.14775140076</v>
      </c>
    </row>
    <row r="36" spans="2:7" ht="12">
      <c r="B36" s="7">
        <v>32</v>
      </c>
      <c r="C36" s="8" t="s">
        <v>185</v>
      </c>
      <c r="D36" s="8" t="s">
        <v>154</v>
      </c>
      <c r="E36" s="20">
        <v>250.22004</v>
      </c>
      <c r="F36" s="10">
        <v>126.18450000000001</v>
      </c>
      <c r="G36" s="11">
        <f t="shared" si="0"/>
        <v>31573.890637380006</v>
      </c>
    </row>
    <row r="37" spans="2:7" ht="12">
      <c r="B37" s="7">
        <v>33</v>
      </c>
      <c r="C37" s="8" t="s">
        <v>186</v>
      </c>
      <c r="D37" s="8" t="s">
        <v>154</v>
      </c>
      <c r="E37" s="20">
        <v>32.31166658</v>
      </c>
      <c r="F37" s="10">
        <v>143.9438</v>
      </c>
      <c r="G37" s="11">
        <f t="shared" si="0"/>
        <v>4651.064071858204</v>
      </c>
    </row>
    <row r="38" spans="2:7" ht="12">
      <c r="B38" s="7">
        <v>34</v>
      </c>
      <c r="C38" s="8" t="s">
        <v>187</v>
      </c>
      <c r="D38" s="8" t="s">
        <v>154</v>
      </c>
      <c r="E38" s="20">
        <v>26.29666659</v>
      </c>
      <c r="F38" s="10">
        <v>168.246</v>
      </c>
      <c r="G38" s="11">
        <f t="shared" si="0"/>
        <v>4424.30896710114</v>
      </c>
    </row>
    <row r="39" spans="2:7" ht="12">
      <c r="B39" s="7">
        <v>35</v>
      </c>
      <c r="C39" s="8" t="s">
        <v>188</v>
      </c>
      <c r="D39" s="8" t="s">
        <v>154</v>
      </c>
      <c r="E39" s="20">
        <v>0.46</v>
      </c>
      <c r="F39" s="10">
        <v>100.94760000000002</v>
      </c>
      <c r="G39" s="11">
        <f t="shared" si="0"/>
        <v>46.435896000000014</v>
      </c>
    </row>
    <row r="40" spans="2:7" ht="12">
      <c r="B40" s="7">
        <v>36</v>
      </c>
      <c r="C40" s="8" t="s">
        <v>189</v>
      </c>
      <c r="D40" s="8" t="s">
        <v>154</v>
      </c>
      <c r="E40" s="20">
        <v>0.46</v>
      </c>
      <c r="F40" s="10">
        <v>112.164</v>
      </c>
      <c r="G40" s="11">
        <f t="shared" si="0"/>
        <v>51.59544</v>
      </c>
    </row>
    <row r="41" spans="2:7" ht="12">
      <c r="B41" s="7">
        <v>37</v>
      </c>
      <c r="C41" s="8" t="s">
        <v>190</v>
      </c>
      <c r="D41" s="8" t="s">
        <v>154</v>
      </c>
      <c r="E41" s="20">
        <v>56.25</v>
      </c>
      <c r="F41" s="10">
        <v>100.94760000000002</v>
      </c>
      <c r="G41" s="11">
        <f t="shared" si="0"/>
        <v>5678.302500000002</v>
      </c>
    </row>
    <row r="42" spans="2:7" ht="12">
      <c r="B42" s="7">
        <v>38</v>
      </c>
      <c r="C42" s="8" t="s">
        <v>191</v>
      </c>
      <c r="D42" s="8" t="s">
        <v>154</v>
      </c>
      <c r="E42" s="20">
        <v>56.25</v>
      </c>
      <c r="F42" s="10">
        <v>126.18450000000001</v>
      </c>
      <c r="G42" s="11">
        <f t="shared" si="0"/>
        <v>7097.878125000001</v>
      </c>
    </row>
    <row r="43" spans="2:7" ht="12">
      <c r="B43" s="7">
        <v>39</v>
      </c>
      <c r="C43" s="8" t="s">
        <v>192</v>
      </c>
      <c r="D43" s="8" t="s">
        <v>154</v>
      </c>
      <c r="E43" s="20">
        <v>6.87</v>
      </c>
      <c r="F43" s="10">
        <v>126.18450000000001</v>
      </c>
      <c r="G43" s="11">
        <f t="shared" si="0"/>
        <v>866.8875150000001</v>
      </c>
    </row>
    <row r="44" spans="2:7" ht="24">
      <c r="B44" s="7">
        <v>40</v>
      </c>
      <c r="C44" s="8" t="s">
        <v>193</v>
      </c>
      <c r="D44" s="8" t="s">
        <v>194</v>
      </c>
      <c r="E44" s="20">
        <v>56.23092</v>
      </c>
      <c r="F44" s="10">
        <v>143.9438</v>
      </c>
      <c r="G44" s="11">
        <f t="shared" si="0"/>
        <v>8094.0923022960005</v>
      </c>
    </row>
    <row r="45" spans="2:7" ht="24">
      <c r="B45" s="7">
        <v>41</v>
      </c>
      <c r="C45" s="8" t="s">
        <v>195</v>
      </c>
      <c r="D45" s="8" t="s">
        <v>154</v>
      </c>
      <c r="E45" s="20">
        <v>18.32</v>
      </c>
      <c r="F45" s="10">
        <v>112.164</v>
      </c>
      <c r="G45" s="11">
        <f t="shared" si="0"/>
        <v>2054.84448</v>
      </c>
    </row>
    <row r="46" spans="2:7" ht="24">
      <c r="B46" s="7">
        <v>42</v>
      </c>
      <c r="C46" s="8" t="s">
        <v>196</v>
      </c>
      <c r="D46" s="8" t="s">
        <v>154</v>
      </c>
      <c r="E46" s="20">
        <v>62.69092</v>
      </c>
      <c r="F46" s="10">
        <v>126.18450000000001</v>
      </c>
      <c r="G46" s="11">
        <f t="shared" si="0"/>
        <v>7910.62239474</v>
      </c>
    </row>
    <row r="47" spans="2:7" ht="12">
      <c r="B47" s="182" t="s">
        <v>139</v>
      </c>
      <c r="C47" s="182"/>
      <c r="D47" s="182"/>
      <c r="E47" s="182"/>
      <c r="F47" s="182"/>
      <c r="G47" s="22">
        <f>SUM(G5:G46)</f>
        <v>197043.1127090843</v>
      </c>
    </row>
    <row r="48" spans="2:7" ht="12.75" customHeight="1">
      <c r="B48" s="183" t="s">
        <v>197</v>
      </c>
      <c r="C48" s="183"/>
      <c r="D48" s="183"/>
      <c r="E48" s="183"/>
      <c r="F48" s="183"/>
      <c r="G48" s="183"/>
    </row>
    <row r="49" spans="2:7" ht="24">
      <c r="B49" s="15">
        <v>43</v>
      </c>
      <c r="C49" s="16" t="s">
        <v>198</v>
      </c>
      <c r="D49" s="16" t="s">
        <v>199</v>
      </c>
      <c r="E49" s="17">
        <v>4.62</v>
      </c>
      <c r="F49" s="18">
        <v>15.7675</v>
      </c>
      <c r="G49" s="19">
        <f aca="true" t="shared" si="1" ref="G49:G80">E49*F49</f>
        <v>72.84585</v>
      </c>
    </row>
    <row r="50" spans="2:7" ht="24">
      <c r="B50" s="7">
        <v>44</v>
      </c>
      <c r="C50" s="8" t="s">
        <v>200</v>
      </c>
      <c r="D50" s="8" t="s">
        <v>199</v>
      </c>
      <c r="E50" s="20">
        <v>2.75</v>
      </c>
      <c r="F50" s="10">
        <v>24.525899999999996</v>
      </c>
      <c r="G50" s="11">
        <f t="shared" si="1"/>
        <v>67.44622499999998</v>
      </c>
    </row>
    <row r="51" spans="2:7" ht="24">
      <c r="B51" s="7">
        <v>45</v>
      </c>
      <c r="C51" s="8" t="s">
        <v>201</v>
      </c>
      <c r="D51" s="8" t="s">
        <v>199</v>
      </c>
      <c r="E51" s="20">
        <v>0</v>
      </c>
      <c r="F51" s="10">
        <v>30.464</v>
      </c>
      <c r="G51" s="11">
        <f t="shared" si="1"/>
        <v>0</v>
      </c>
    </row>
    <row r="52" spans="2:7" ht="24">
      <c r="B52" s="7">
        <v>46</v>
      </c>
      <c r="C52" s="8" t="s">
        <v>202</v>
      </c>
      <c r="D52" s="8" t="s">
        <v>199</v>
      </c>
      <c r="E52" s="20">
        <v>4.84</v>
      </c>
      <c r="F52" s="10">
        <v>41.1621</v>
      </c>
      <c r="G52" s="11">
        <f t="shared" si="1"/>
        <v>199.22456400000002</v>
      </c>
    </row>
    <row r="53" spans="2:7" ht="12">
      <c r="B53" s="7">
        <v>47</v>
      </c>
      <c r="C53" s="8" t="s">
        <v>203</v>
      </c>
      <c r="D53" s="8" t="s">
        <v>204</v>
      </c>
      <c r="E53" s="20">
        <v>2.124</v>
      </c>
      <c r="F53" s="10">
        <v>2678.7495</v>
      </c>
      <c r="G53" s="11">
        <f t="shared" si="1"/>
        <v>5689.663938</v>
      </c>
    </row>
    <row r="54" spans="2:7" ht="12">
      <c r="B54" s="7">
        <v>48</v>
      </c>
      <c r="C54" s="8" t="s">
        <v>205</v>
      </c>
      <c r="D54" s="8" t="s">
        <v>206</v>
      </c>
      <c r="E54" s="20">
        <v>0.20184</v>
      </c>
      <c r="F54" s="10">
        <v>386.0003</v>
      </c>
      <c r="G54" s="11">
        <f t="shared" si="1"/>
        <v>77.910300552</v>
      </c>
    </row>
    <row r="55" spans="2:7" ht="12">
      <c r="B55" s="7">
        <v>49</v>
      </c>
      <c r="C55" s="8" t="s">
        <v>207</v>
      </c>
      <c r="D55" s="8" t="s">
        <v>204</v>
      </c>
      <c r="E55" s="20">
        <v>5E-05</v>
      </c>
      <c r="F55" s="10">
        <v>57049.6591</v>
      </c>
      <c r="G55" s="11">
        <f t="shared" si="1"/>
        <v>2.852482955</v>
      </c>
    </row>
    <row r="56" spans="2:7" ht="12">
      <c r="B56" s="7">
        <v>50</v>
      </c>
      <c r="C56" s="8" t="s">
        <v>208</v>
      </c>
      <c r="D56" s="8" t="s">
        <v>204</v>
      </c>
      <c r="E56" s="20">
        <v>0.00252</v>
      </c>
      <c r="F56" s="10">
        <v>47629.78569999999</v>
      </c>
      <c r="G56" s="11">
        <f t="shared" si="1"/>
        <v>120.02705996399999</v>
      </c>
    </row>
    <row r="57" spans="2:7" ht="12">
      <c r="B57" s="7">
        <v>51</v>
      </c>
      <c r="C57" s="8" t="s">
        <v>209</v>
      </c>
      <c r="D57" s="8" t="s">
        <v>204</v>
      </c>
      <c r="E57" s="20">
        <v>0.0540456</v>
      </c>
      <c r="F57" s="10">
        <v>53278.061200000004</v>
      </c>
      <c r="G57" s="11">
        <f t="shared" si="1"/>
        <v>2879.44478439072</v>
      </c>
    </row>
    <row r="58" spans="2:7" ht="12">
      <c r="B58" s="7">
        <v>52</v>
      </c>
      <c r="C58" s="8" t="s">
        <v>210</v>
      </c>
      <c r="D58" s="8" t="s">
        <v>204</v>
      </c>
      <c r="E58" s="20">
        <v>0.00512</v>
      </c>
      <c r="F58" s="10">
        <v>14199.377499999999</v>
      </c>
      <c r="G58" s="11">
        <f t="shared" si="1"/>
        <v>72.7008128</v>
      </c>
    </row>
    <row r="59" spans="2:7" ht="24">
      <c r="B59" s="7">
        <v>53</v>
      </c>
      <c r="C59" s="8" t="s">
        <v>211</v>
      </c>
      <c r="D59" s="8" t="s">
        <v>204</v>
      </c>
      <c r="E59" s="20">
        <v>0.00105</v>
      </c>
      <c r="F59" s="10">
        <v>58783.7271</v>
      </c>
      <c r="G59" s="11">
        <f t="shared" si="1"/>
        <v>61.72291345499999</v>
      </c>
    </row>
    <row r="60" spans="2:7" ht="24">
      <c r="B60" s="7">
        <v>54</v>
      </c>
      <c r="C60" s="8" t="s">
        <v>212</v>
      </c>
      <c r="D60" s="8" t="s">
        <v>204</v>
      </c>
      <c r="E60" s="20">
        <v>0.00324</v>
      </c>
      <c r="F60" s="10">
        <v>64294.6409</v>
      </c>
      <c r="G60" s="11">
        <f t="shared" si="1"/>
        <v>208.31463651599998</v>
      </c>
    </row>
    <row r="61" spans="2:7" ht="12">
      <c r="B61" s="7">
        <v>55</v>
      </c>
      <c r="C61" s="8" t="s">
        <v>213</v>
      </c>
      <c r="D61" s="8" t="s">
        <v>204</v>
      </c>
      <c r="E61" s="20">
        <v>0.011105</v>
      </c>
      <c r="F61" s="10">
        <v>83700.792</v>
      </c>
      <c r="G61" s="11">
        <f t="shared" si="1"/>
        <v>929.49729516</v>
      </c>
    </row>
    <row r="62" spans="2:7" ht="24">
      <c r="B62" s="7">
        <v>56</v>
      </c>
      <c r="C62" s="8" t="s">
        <v>214</v>
      </c>
      <c r="D62" s="8" t="s">
        <v>199</v>
      </c>
      <c r="E62" s="20">
        <v>12</v>
      </c>
      <c r="F62" s="10">
        <v>81.96719999999999</v>
      </c>
      <c r="G62" s="11">
        <f t="shared" si="1"/>
        <v>983.6063999999999</v>
      </c>
    </row>
    <row r="63" spans="2:7" ht="12">
      <c r="B63" s="7">
        <v>57</v>
      </c>
      <c r="C63" s="8" t="s">
        <v>215</v>
      </c>
      <c r="D63" s="8" t="s">
        <v>199</v>
      </c>
      <c r="E63" s="20">
        <v>8</v>
      </c>
      <c r="F63" s="10">
        <v>160.54289999999997</v>
      </c>
      <c r="G63" s="11">
        <f t="shared" si="1"/>
        <v>1284.3431999999998</v>
      </c>
    </row>
    <row r="64" spans="2:7" ht="12">
      <c r="B64" s="7">
        <v>58</v>
      </c>
      <c r="C64" s="8" t="s">
        <v>216</v>
      </c>
      <c r="D64" s="8" t="s">
        <v>217</v>
      </c>
      <c r="E64" s="20">
        <v>0.581</v>
      </c>
      <c r="F64" s="10">
        <v>20.741699999999998</v>
      </c>
      <c r="G64" s="11">
        <f t="shared" si="1"/>
        <v>12.050927699999997</v>
      </c>
    </row>
    <row r="65" spans="2:7" ht="12">
      <c r="B65" s="7">
        <v>59</v>
      </c>
      <c r="C65" s="8" t="s">
        <v>218</v>
      </c>
      <c r="D65" s="8" t="s">
        <v>206</v>
      </c>
      <c r="E65" s="20">
        <v>52.633748</v>
      </c>
      <c r="F65" s="10">
        <v>28.6433</v>
      </c>
      <c r="G65" s="11">
        <f t="shared" si="1"/>
        <v>1507.6042340883998</v>
      </c>
    </row>
    <row r="66" spans="2:7" ht="12">
      <c r="B66" s="7">
        <v>60</v>
      </c>
      <c r="C66" s="8" t="s">
        <v>219</v>
      </c>
      <c r="D66" s="8" t="s">
        <v>220</v>
      </c>
      <c r="E66" s="20">
        <v>0.00366</v>
      </c>
      <c r="F66" s="10">
        <v>26752.7708</v>
      </c>
      <c r="G66" s="11">
        <f t="shared" si="1"/>
        <v>97.915141128</v>
      </c>
    </row>
    <row r="67" spans="2:7" ht="12">
      <c r="B67" s="7">
        <v>61</v>
      </c>
      <c r="C67" s="8" t="s">
        <v>221</v>
      </c>
      <c r="D67" s="8" t="s">
        <v>204</v>
      </c>
      <c r="E67" s="20">
        <v>0.00024</v>
      </c>
      <c r="F67" s="10">
        <v>37276.274</v>
      </c>
      <c r="G67" s="11">
        <f t="shared" si="1"/>
        <v>8.94630576</v>
      </c>
    </row>
    <row r="68" spans="2:7" ht="12">
      <c r="B68" s="7">
        <v>62</v>
      </c>
      <c r="C68" s="8" t="s">
        <v>222</v>
      </c>
      <c r="D68" s="8" t="s">
        <v>217</v>
      </c>
      <c r="E68" s="20">
        <v>0.209</v>
      </c>
      <c r="F68" s="10">
        <v>317.94419999999997</v>
      </c>
      <c r="G68" s="11">
        <f t="shared" si="1"/>
        <v>66.45033779999999</v>
      </c>
    </row>
    <row r="69" spans="2:7" ht="12">
      <c r="B69" s="7">
        <v>63</v>
      </c>
      <c r="C69" s="8" t="s">
        <v>223</v>
      </c>
      <c r="D69" s="8" t="s">
        <v>224</v>
      </c>
      <c r="E69" s="20">
        <v>5.31</v>
      </c>
      <c r="F69" s="10">
        <v>37.9967</v>
      </c>
      <c r="G69" s="11">
        <f t="shared" si="1"/>
        <v>201.76247699999996</v>
      </c>
    </row>
    <row r="70" spans="2:7" ht="12">
      <c r="B70" s="7">
        <v>64</v>
      </c>
      <c r="C70" s="8" t="s">
        <v>225</v>
      </c>
      <c r="D70" s="8" t="s">
        <v>204</v>
      </c>
      <c r="E70" s="20">
        <v>0.0017499</v>
      </c>
      <c r="F70" s="10">
        <v>22783.5853</v>
      </c>
      <c r="G70" s="11">
        <f t="shared" si="1"/>
        <v>39.86899591647</v>
      </c>
    </row>
    <row r="71" spans="2:7" ht="12">
      <c r="B71" s="7">
        <v>65</v>
      </c>
      <c r="C71" s="8" t="s">
        <v>226</v>
      </c>
      <c r="D71" s="8" t="s">
        <v>206</v>
      </c>
      <c r="E71" s="20">
        <v>0.00036</v>
      </c>
      <c r="F71" s="10">
        <v>1071.0594999999998</v>
      </c>
      <c r="G71" s="11">
        <f t="shared" si="1"/>
        <v>0.38558141999999995</v>
      </c>
    </row>
    <row r="72" spans="2:7" ht="24">
      <c r="B72" s="7">
        <v>66</v>
      </c>
      <c r="C72" s="8" t="s">
        <v>227</v>
      </c>
      <c r="D72" s="8" t="s">
        <v>204</v>
      </c>
      <c r="E72" s="20">
        <v>0.00070075</v>
      </c>
      <c r="F72" s="10">
        <v>79242.7664</v>
      </c>
      <c r="G72" s="11">
        <f t="shared" si="1"/>
        <v>55.529368554799994</v>
      </c>
    </row>
    <row r="73" spans="2:7" ht="24">
      <c r="B73" s="7">
        <v>67</v>
      </c>
      <c r="C73" s="8" t="s">
        <v>228</v>
      </c>
      <c r="D73" s="8" t="s">
        <v>204</v>
      </c>
      <c r="E73" s="20">
        <v>8.4E-05</v>
      </c>
      <c r="F73" s="10">
        <v>78337.7</v>
      </c>
      <c r="G73" s="11">
        <f t="shared" si="1"/>
        <v>6.580366799999999</v>
      </c>
    </row>
    <row r="74" spans="2:7" ht="24">
      <c r="B74" s="7">
        <v>68</v>
      </c>
      <c r="C74" s="8" t="s">
        <v>229</v>
      </c>
      <c r="D74" s="8" t="s">
        <v>199</v>
      </c>
      <c r="E74" s="20">
        <v>1.5</v>
      </c>
      <c r="F74" s="10">
        <v>2499.476</v>
      </c>
      <c r="G74" s="11">
        <f t="shared" si="1"/>
        <v>3749.214</v>
      </c>
    </row>
    <row r="75" spans="2:7" ht="12">
      <c r="B75" s="7">
        <v>69</v>
      </c>
      <c r="C75" s="8" t="s">
        <v>230</v>
      </c>
      <c r="D75" s="8" t="s">
        <v>204</v>
      </c>
      <c r="E75" s="20">
        <v>0.00361</v>
      </c>
      <c r="F75" s="10">
        <v>2550.4556</v>
      </c>
      <c r="G75" s="11">
        <f t="shared" si="1"/>
        <v>9.207144715999998</v>
      </c>
    </row>
    <row r="76" spans="2:7" ht="12">
      <c r="B76" s="7">
        <v>70</v>
      </c>
      <c r="C76" s="8" t="s">
        <v>231</v>
      </c>
      <c r="D76" s="8" t="s">
        <v>217</v>
      </c>
      <c r="E76" s="20">
        <v>0.00273</v>
      </c>
      <c r="F76" s="10">
        <v>12.4593</v>
      </c>
      <c r="G76" s="11">
        <f t="shared" si="1"/>
        <v>0.034013889</v>
      </c>
    </row>
    <row r="77" spans="2:7" ht="12">
      <c r="B77" s="7">
        <v>71</v>
      </c>
      <c r="C77" s="8" t="s">
        <v>232</v>
      </c>
      <c r="D77" s="8" t="s">
        <v>217</v>
      </c>
      <c r="E77" s="20">
        <v>0.408</v>
      </c>
      <c r="F77" s="10">
        <v>237.6549</v>
      </c>
      <c r="G77" s="11">
        <f t="shared" si="1"/>
        <v>96.96319919999999</v>
      </c>
    </row>
    <row r="78" spans="2:7" ht="12">
      <c r="B78" s="7">
        <v>72</v>
      </c>
      <c r="C78" s="8" t="s">
        <v>233</v>
      </c>
      <c r="D78" s="8" t="s">
        <v>224</v>
      </c>
      <c r="E78" s="20">
        <v>0.03</v>
      </c>
      <c r="F78" s="10">
        <v>43.434999999999995</v>
      </c>
      <c r="G78" s="11">
        <f t="shared" si="1"/>
        <v>1.3030499999999998</v>
      </c>
    </row>
    <row r="79" spans="2:7" ht="12">
      <c r="B79" s="7">
        <v>73</v>
      </c>
      <c r="C79" s="8" t="s">
        <v>234</v>
      </c>
      <c r="D79" s="8" t="s">
        <v>204</v>
      </c>
      <c r="E79" s="20">
        <v>0.00036</v>
      </c>
      <c r="F79" s="10">
        <v>50747.5381</v>
      </c>
      <c r="G79" s="11">
        <f t="shared" si="1"/>
        <v>18.269113716</v>
      </c>
    </row>
    <row r="80" spans="2:7" ht="12">
      <c r="B80" s="7">
        <v>74</v>
      </c>
      <c r="C80" s="8" t="s">
        <v>235</v>
      </c>
      <c r="D80" s="8" t="s">
        <v>204</v>
      </c>
      <c r="E80" s="20">
        <v>0.0029301</v>
      </c>
      <c r="F80" s="10">
        <v>52734.83809999999</v>
      </c>
      <c r="G80" s="11">
        <f t="shared" si="1"/>
        <v>154.51834911681</v>
      </c>
    </row>
    <row r="81" spans="2:7" ht="12">
      <c r="B81" s="7">
        <v>75</v>
      </c>
      <c r="C81" s="8" t="s">
        <v>236</v>
      </c>
      <c r="D81" s="8" t="s">
        <v>206</v>
      </c>
      <c r="E81" s="20">
        <v>0.2211</v>
      </c>
      <c r="F81" s="10">
        <v>61.77289999999999</v>
      </c>
      <c r="G81" s="11">
        <f aca="true" t="shared" si="2" ref="G81:G112">E81*F81</f>
        <v>13.657988189999998</v>
      </c>
    </row>
    <row r="82" spans="2:7" ht="12">
      <c r="B82" s="7">
        <v>76</v>
      </c>
      <c r="C82" s="8" t="s">
        <v>237</v>
      </c>
      <c r="D82" s="8" t="s">
        <v>199</v>
      </c>
      <c r="E82" s="20">
        <v>30</v>
      </c>
      <c r="F82" s="10">
        <v>39.9126</v>
      </c>
      <c r="G82" s="11">
        <f t="shared" si="2"/>
        <v>1197.378</v>
      </c>
    </row>
    <row r="83" spans="2:7" ht="12">
      <c r="B83" s="7">
        <v>77</v>
      </c>
      <c r="C83" s="8" t="s">
        <v>238</v>
      </c>
      <c r="D83" s="8" t="s">
        <v>204</v>
      </c>
      <c r="E83" s="20">
        <v>0.0002</v>
      </c>
      <c r="F83" s="10">
        <v>40326.101200000005</v>
      </c>
      <c r="G83" s="11">
        <f t="shared" si="2"/>
        <v>8.065220240000002</v>
      </c>
    </row>
    <row r="84" spans="2:7" ht="12">
      <c r="B84" s="7">
        <v>78</v>
      </c>
      <c r="C84" s="8" t="s">
        <v>239</v>
      </c>
      <c r="D84" s="8" t="s">
        <v>204</v>
      </c>
      <c r="E84" s="20">
        <v>0.00021</v>
      </c>
      <c r="F84" s="10">
        <v>78217.31959999999</v>
      </c>
      <c r="G84" s="11">
        <f t="shared" si="2"/>
        <v>16.425637115999997</v>
      </c>
    </row>
    <row r="85" spans="2:7" ht="12">
      <c r="B85" s="7">
        <v>79</v>
      </c>
      <c r="C85" s="8" t="s">
        <v>240</v>
      </c>
      <c r="D85" s="8" t="s">
        <v>204</v>
      </c>
      <c r="E85" s="20">
        <v>0.001615</v>
      </c>
      <c r="F85" s="10">
        <v>39962.984599999996</v>
      </c>
      <c r="G85" s="11">
        <f t="shared" si="2"/>
        <v>64.54022012899999</v>
      </c>
    </row>
    <row r="86" spans="2:7" ht="12">
      <c r="B86" s="7">
        <v>80</v>
      </c>
      <c r="C86" s="8" t="s">
        <v>241</v>
      </c>
      <c r="D86" s="8" t="s">
        <v>224</v>
      </c>
      <c r="E86" s="20">
        <v>0.155</v>
      </c>
      <c r="F86" s="10">
        <v>22.764699999999998</v>
      </c>
      <c r="G86" s="11">
        <f t="shared" si="2"/>
        <v>3.5285284999999997</v>
      </c>
    </row>
    <row r="87" spans="2:7" ht="12">
      <c r="B87" s="7">
        <v>81</v>
      </c>
      <c r="C87" s="8" t="s">
        <v>242</v>
      </c>
      <c r="D87" s="8" t="s">
        <v>217</v>
      </c>
      <c r="E87" s="20">
        <v>52.1914</v>
      </c>
      <c r="F87" s="10">
        <v>46.0173</v>
      </c>
      <c r="G87" s="11">
        <f t="shared" si="2"/>
        <v>2401.70731122</v>
      </c>
    </row>
    <row r="88" spans="2:7" ht="12">
      <c r="B88" s="7">
        <v>82</v>
      </c>
      <c r="C88" s="8" t="s">
        <v>243</v>
      </c>
      <c r="D88" s="8" t="s">
        <v>204</v>
      </c>
      <c r="E88" s="20">
        <v>3E-05</v>
      </c>
      <c r="F88" s="10">
        <v>41532.666</v>
      </c>
      <c r="G88" s="11">
        <f t="shared" si="2"/>
        <v>1.24597998</v>
      </c>
    </row>
    <row r="89" spans="2:7" ht="12">
      <c r="B89" s="7">
        <v>83</v>
      </c>
      <c r="C89" s="8" t="s">
        <v>244</v>
      </c>
      <c r="D89" s="8" t="s">
        <v>217</v>
      </c>
      <c r="E89" s="20">
        <v>2.109</v>
      </c>
      <c r="F89" s="10">
        <v>58.750299999999996</v>
      </c>
      <c r="G89" s="11">
        <f t="shared" si="2"/>
        <v>123.90438269999999</v>
      </c>
    </row>
    <row r="90" spans="2:7" ht="24">
      <c r="B90" s="7">
        <v>84</v>
      </c>
      <c r="C90" s="8" t="s">
        <v>245</v>
      </c>
      <c r="D90" s="8" t="s">
        <v>217</v>
      </c>
      <c r="E90" s="20">
        <v>6</v>
      </c>
      <c r="F90" s="10">
        <v>116.02499999999999</v>
      </c>
      <c r="G90" s="11">
        <f t="shared" si="2"/>
        <v>696.15</v>
      </c>
    </row>
    <row r="91" spans="2:7" ht="36">
      <c r="B91" s="7">
        <v>85</v>
      </c>
      <c r="C91" s="8" t="s">
        <v>246</v>
      </c>
      <c r="D91" s="8" t="s">
        <v>204</v>
      </c>
      <c r="E91" s="20">
        <v>0.00544</v>
      </c>
      <c r="F91" s="10">
        <v>31272.5693</v>
      </c>
      <c r="G91" s="11">
        <f t="shared" si="2"/>
        <v>170.122776992</v>
      </c>
    </row>
    <row r="92" spans="2:7" ht="24">
      <c r="B92" s="7">
        <v>86</v>
      </c>
      <c r="C92" s="8" t="s">
        <v>247</v>
      </c>
      <c r="D92" s="8" t="s">
        <v>204</v>
      </c>
      <c r="E92" s="20">
        <v>5E-05</v>
      </c>
      <c r="F92" s="10">
        <v>326718.8197</v>
      </c>
      <c r="G92" s="11">
        <f t="shared" si="2"/>
        <v>16.335940985</v>
      </c>
    </row>
    <row r="93" spans="2:7" ht="12">
      <c r="B93" s="7">
        <v>87</v>
      </c>
      <c r="C93" s="8" t="s">
        <v>248</v>
      </c>
      <c r="D93" s="8" t="s">
        <v>217</v>
      </c>
      <c r="E93" s="20">
        <v>0.146</v>
      </c>
      <c r="F93" s="10">
        <v>62.3441</v>
      </c>
      <c r="G93" s="11">
        <f t="shared" si="2"/>
        <v>9.1022386</v>
      </c>
    </row>
    <row r="94" spans="2:7" ht="12">
      <c r="B94" s="7">
        <v>88</v>
      </c>
      <c r="C94" s="8" t="s">
        <v>249</v>
      </c>
      <c r="D94" s="8" t="s">
        <v>204</v>
      </c>
      <c r="E94" s="20">
        <v>7.2E-05</v>
      </c>
      <c r="F94" s="10">
        <v>60639.5321</v>
      </c>
      <c r="G94" s="11">
        <f t="shared" si="2"/>
        <v>4.3660463112</v>
      </c>
    </row>
    <row r="95" spans="2:7" ht="12">
      <c r="B95" s="7">
        <v>89</v>
      </c>
      <c r="C95" s="8" t="s">
        <v>250</v>
      </c>
      <c r="D95" s="8" t="s">
        <v>204</v>
      </c>
      <c r="E95" s="20">
        <v>0.396</v>
      </c>
      <c r="F95" s="10">
        <v>26056.2043</v>
      </c>
      <c r="G95" s="11">
        <f t="shared" si="2"/>
        <v>10318.256902800002</v>
      </c>
    </row>
    <row r="96" spans="2:7" ht="12">
      <c r="B96" s="7">
        <v>90</v>
      </c>
      <c r="C96" s="8" t="s">
        <v>251</v>
      </c>
      <c r="D96" s="8" t="s">
        <v>217</v>
      </c>
      <c r="E96" s="20">
        <v>0.45</v>
      </c>
      <c r="F96" s="10">
        <v>125.6164</v>
      </c>
      <c r="G96" s="11">
        <f t="shared" si="2"/>
        <v>56.52738</v>
      </c>
    </row>
    <row r="97" spans="2:7" ht="24">
      <c r="B97" s="7">
        <v>91</v>
      </c>
      <c r="C97" s="8" t="s">
        <v>252</v>
      </c>
      <c r="D97" s="8" t="s">
        <v>204</v>
      </c>
      <c r="E97" s="20">
        <v>0.0006501</v>
      </c>
      <c r="F97" s="10">
        <v>59302.8051</v>
      </c>
      <c r="G97" s="11">
        <f t="shared" si="2"/>
        <v>38.55275359551</v>
      </c>
    </row>
    <row r="98" spans="2:7" ht="12">
      <c r="B98" s="7">
        <v>92</v>
      </c>
      <c r="C98" s="8" t="s">
        <v>253</v>
      </c>
      <c r="D98" s="8" t="s">
        <v>204</v>
      </c>
      <c r="E98" s="20">
        <v>0.1905</v>
      </c>
      <c r="F98" s="10">
        <v>39254.803700000004</v>
      </c>
      <c r="G98" s="11">
        <f t="shared" si="2"/>
        <v>7478.040104850001</v>
      </c>
    </row>
    <row r="99" spans="2:7" ht="12">
      <c r="B99" s="7">
        <v>93</v>
      </c>
      <c r="C99" s="8" t="s">
        <v>254</v>
      </c>
      <c r="D99" s="8" t="s">
        <v>204</v>
      </c>
      <c r="E99" s="20">
        <v>0.000155</v>
      </c>
      <c r="F99" s="10">
        <v>71280.0242</v>
      </c>
      <c r="G99" s="11">
        <f t="shared" si="2"/>
        <v>11.048403751</v>
      </c>
    </row>
    <row r="100" spans="2:7" ht="24">
      <c r="B100" s="7">
        <v>94</v>
      </c>
      <c r="C100" s="8" t="s">
        <v>255</v>
      </c>
      <c r="D100" s="8" t="s">
        <v>206</v>
      </c>
      <c r="E100" s="20">
        <v>0.01064</v>
      </c>
      <c r="F100" s="10">
        <v>2333.4114999999997</v>
      </c>
      <c r="G100" s="11">
        <f t="shared" si="2"/>
        <v>24.827498359999996</v>
      </c>
    </row>
    <row r="101" spans="2:7" ht="12">
      <c r="B101" s="7">
        <v>95</v>
      </c>
      <c r="C101" s="8" t="s">
        <v>256</v>
      </c>
      <c r="D101" s="8" t="s">
        <v>199</v>
      </c>
      <c r="E101" s="20">
        <v>645.8</v>
      </c>
      <c r="F101" s="10">
        <v>3.7960999999999996</v>
      </c>
      <c r="G101" s="11">
        <f t="shared" si="2"/>
        <v>2451.5213799999997</v>
      </c>
    </row>
    <row r="102" spans="2:7" ht="12">
      <c r="B102" s="7">
        <v>96</v>
      </c>
      <c r="C102" s="8" t="s">
        <v>257</v>
      </c>
      <c r="D102" s="8" t="s">
        <v>217</v>
      </c>
      <c r="E102" s="20">
        <v>9.3192</v>
      </c>
      <c r="F102" s="10">
        <v>176.02479999999997</v>
      </c>
      <c r="G102" s="11">
        <f t="shared" si="2"/>
        <v>1640.4103161599999</v>
      </c>
    </row>
    <row r="103" spans="2:7" ht="12">
      <c r="B103" s="7">
        <v>97</v>
      </c>
      <c r="C103" s="8" t="s">
        <v>258</v>
      </c>
      <c r="D103" s="8" t="s">
        <v>217</v>
      </c>
      <c r="E103" s="20">
        <v>0.475</v>
      </c>
      <c r="F103" s="10">
        <v>35.319199999999995</v>
      </c>
      <c r="G103" s="11">
        <f t="shared" si="2"/>
        <v>16.776619999999998</v>
      </c>
    </row>
    <row r="104" spans="2:7" ht="24">
      <c r="B104" s="7">
        <v>98</v>
      </c>
      <c r="C104" s="8" t="s">
        <v>259</v>
      </c>
      <c r="D104" s="8" t="s">
        <v>204</v>
      </c>
      <c r="E104" s="20">
        <v>0.000122</v>
      </c>
      <c r="F104" s="10">
        <v>340343.0821</v>
      </c>
      <c r="G104" s="11">
        <f t="shared" si="2"/>
        <v>41.5218560162</v>
      </c>
    </row>
    <row r="105" spans="2:7" ht="12">
      <c r="B105" s="7">
        <v>99</v>
      </c>
      <c r="C105" s="8" t="s">
        <v>260</v>
      </c>
      <c r="D105" s="8" t="s">
        <v>199</v>
      </c>
      <c r="E105" s="20">
        <v>30</v>
      </c>
      <c r="F105" s="10">
        <v>65.02159999999999</v>
      </c>
      <c r="G105" s="11">
        <f t="shared" si="2"/>
        <v>1950.6479999999997</v>
      </c>
    </row>
    <row r="106" spans="2:7" ht="12">
      <c r="B106" s="7">
        <v>100</v>
      </c>
      <c r="C106" s="8" t="s">
        <v>261</v>
      </c>
      <c r="D106" s="8" t="s">
        <v>204</v>
      </c>
      <c r="E106" s="20">
        <v>0.000106</v>
      </c>
      <c r="F106" s="10">
        <v>36366.5904</v>
      </c>
      <c r="G106" s="11">
        <f t="shared" si="2"/>
        <v>3.8548585824000003</v>
      </c>
    </row>
    <row r="107" spans="2:7" ht="12">
      <c r="B107" s="7">
        <v>101</v>
      </c>
      <c r="C107" s="8" t="s">
        <v>262</v>
      </c>
      <c r="D107" s="8" t="s">
        <v>217</v>
      </c>
      <c r="E107" s="20">
        <v>5.22315</v>
      </c>
      <c r="F107" s="10">
        <v>107.4451</v>
      </c>
      <c r="G107" s="11">
        <f t="shared" si="2"/>
        <v>561.201874065</v>
      </c>
    </row>
    <row r="108" spans="2:7" ht="12">
      <c r="B108" s="7">
        <v>102</v>
      </c>
      <c r="C108" s="8" t="s">
        <v>263</v>
      </c>
      <c r="D108" s="8" t="s">
        <v>217</v>
      </c>
      <c r="E108" s="20">
        <v>0.0976</v>
      </c>
      <c r="F108" s="10">
        <v>58.750299999999996</v>
      </c>
      <c r="G108" s="11">
        <f t="shared" si="2"/>
        <v>5.73402928</v>
      </c>
    </row>
    <row r="109" spans="2:7" ht="12">
      <c r="B109" s="7">
        <v>103</v>
      </c>
      <c r="C109" s="8" t="s">
        <v>264</v>
      </c>
      <c r="D109" s="8" t="s">
        <v>217</v>
      </c>
      <c r="E109" s="20">
        <v>0.141</v>
      </c>
      <c r="F109" s="10">
        <v>61.4397</v>
      </c>
      <c r="G109" s="11">
        <f t="shared" si="2"/>
        <v>8.6629977</v>
      </c>
    </row>
    <row r="110" spans="2:7" ht="12">
      <c r="B110" s="7">
        <v>104</v>
      </c>
      <c r="C110" s="8" t="s">
        <v>265</v>
      </c>
      <c r="D110" s="8" t="s">
        <v>204</v>
      </c>
      <c r="E110" s="20">
        <v>2.5E-05</v>
      </c>
      <c r="F110" s="10">
        <v>191386.629</v>
      </c>
      <c r="G110" s="11">
        <f t="shared" si="2"/>
        <v>4.784665725</v>
      </c>
    </row>
    <row r="111" spans="2:7" ht="12">
      <c r="B111" s="7">
        <v>105</v>
      </c>
      <c r="C111" s="8" t="s">
        <v>266</v>
      </c>
      <c r="D111" s="8" t="s">
        <v>204</v>
      </c>
      <c r="E111" s="20">
        <v>0.021375</v>
      </c>
      <c r="F111" s="10">
        <v>7450.3996</v>
      </c>
      <c r="G111" s="11">
        <f t="shared" si="2"/>
        <v>159.25229145</v>
      </c>
    </row>
    <row r="112" spans="2:7" ht="24">
      <c r="B112" s="7">
        <v>106</v>
      </c>
      <c r="C112" s="8" t="s">
        <v>267</v>
      </c>
      <c r="D112" s="8" t="s">
        <v>206</v>
      </c>
      <c r="E112" s="20">
        <v>0.00023762</v>
      </c>
      <c r="F112" s="10">
        <v>713.8096</v>
      </c>
      <c r="G112" s="11">
        <f t="shared" si="2"/>
        <v>0.169615437152</v>
      </c>
    </row>
    <row r="113" spans="2:7" ht="12">
      <c r="B113" s="7">
        <v>107</v>
      </c>
      <c r="C113" s="8" t="s">
        <v>268</v>
      </c>
      <c r="D113" s="8" t="s">
        <v>204</v>
      </c>
      <c r="E113" s="20">
        <v>0.1125</v>
      </c>
      <c r="F113" s="10">
        <v>45366.90549999999</v>
      </c>
      <c r="G113" s="11">
        <f aca="true" t="shared" si="3" ref="G113:G144">E113*F113</f>
        <v>5103.776868749999</v>
      </c>
    </row>
    <row r="114" spans="2:7" ht="12">
      <c r="B114" s="7">
        <v>108</v>
      </c>
      <c r="C114" s="8" t="s">
        <v>269</v>
      </c>
      <c r="D114" s="8" t="s">
        <v>217</v>
      </c>
      <c r="E114" s="20">
        <v>0.312</v>
      </c>
      <c r="F114" s="10">
        <v>162.44689999999997</v>
      </c>
      <c r="G114" s="11">
        <f t="shared" si="3"/>
        <v>50.68343279999999</v>
      </c>
    </row>
    <row r="115" spans="2:7" ht="12">
      <c r="B115" s="7">
        <v>109</v>
      </c>
      <c r="C115" s="8" t="s">
        <v>270</v>
      </c>
      <c r="D115" s="8" t="s">
        <v>204</v>
      </c>
      <c r="E115" s="20">
        <v>3E-05</v>
      </c>
      <c r="F115" s="10">
        <v>55551.234899999996</v>
      </c>
      <c r="G115" s="11">
        <f t="shared" si="3"/>
        <v>1.6665370469999998</v>
      </c>
    </row>
    <row r="116" spans="2:7" ht="12">
      <c r="B116" s="7">
        <v>110</v>
      </c>
      <c r="C116" s="8" t="s">
        <v>271</v>
      </c>
      <c r="D116" s="8" t="s">
        <v>199</v>
      </c>
      <c r="E116" s="20">
        <v>4</v>
      </c>
      <c r="F116" s="10">
        <v>856.7643</v>
      </c>
      <c r="G116" s="11">
        <f t="shared" si="3"/>
        <v>3427.0572</v>
      </c>
    </row>
    <row r="117" spans="2:7" ht="12">
      <c r="B117" s="7">
        <v>111</v>
      </c>
      <c r="C117" s="8" t="s">
        <v>272</v>
      </c>
      <c r="D117" s="8" t="s">
        <v>217</v>
      </c>
      <c r="E117" s="20">
        <v>0.005</v>
      </c>
      <c r="F117" s="10">
        <v>183.08149999999998</v>
      </c>
      <c r="G117" s="11">
        <f t="shared" si="3"/>
        <v>0.9154074999999999</v>
      </c>
    </row>
    <row r="118" spans="2:7" ht="12">
      <c r="B118" s="7">
        <v>112</v>
      </c>
      <c r="C118" s="8" t="s">
        <v>273</v>
      </c>
      <c r="D118" s="8" t="s">
        <v>274</v>
      </c>
      <c r="E118" s="20">
        <v>0.0306</v>
      </c>
      <c r="F118" s="21">
        <v>2373.24</v>
      </c>
      <c r="G118" s="11">
        <f t="shared" si="3"/>
        <v>72.62114399999999</v>
      </c>
    </row>
    <row r="119" spans="2:7" ht="12">
      <c r="B119" s="7">
        <v>113</v>
      </c>
      <c r="C119" s="8" t="s">
        <v>275</v>
      </c>
      <c r="D119" s="8" t="s">
        <v>204</v>
      </c>
      <c r="E119" s="20">
        <v>0.0001404</v>
      </c>
      <c r="F119" s="10">
        <v>42258.70879999999</v>
      </c>
      <c r="G119" s="11">
        <f t="shared" si="3"/>
        <v>5.933122715519999</v>
      </c>
    </row>
    <row r="120" spans="2:7" ht="24">
      <c r="B120" s="7">
        <v>114</v>
      </c>
      <c r="C120" s="8" t="s">
        <v>276</v>
      </c>
      <c r="D120" s="8" t="s">
        <v>204</v>
      </c>
      <c r="E120" s="20">
        <v>4E-05</v>
      </c>
      <c r="F120" s="10">
        <v>52870.7242</v>
      </c>
      <c r="G120" s="11">
        <f t="shared" si="3"/>
        <v>2.114828968</v>
      </c>
    </row>
    <row r="121" spans="2:7" ht="12">
      <c r="B121" s="7">
        <v>115</v>
      </c>
      <c r="C121" s="8" t="s">
        <v>277</v>
      </c>
      <c r="D121" s="8" t="s">
        <v>220</v>
      </c>
      <c r="E121" s="20">
        <v>0.005</v>
      </c>
      <c r="F121" s="10">
        <v>17823.8676</v>
      </c>
      <c r="G121" s="11">
        <f t="shared" si="3"/>
        <v>89.11933800000001</v>
      </c>
    </row>
    <row r="122" spans="2:7" ht="12">
      <c r="B122" s="7">
        <v>116</v>
      </c>
      <c r="C122" s="8" t="s">
        <v>278</v>
      </c>
      <c r="D122" s="8" t="s">
        <v>206</v>
      </c>
      <c r="E122" s="20">
        <v>1.65</v>
      </c>
      <c r="F122" s="10">
        <v>2785.0046</v>
      </c>
      <c r="G122" s="11">
        <f t="shared" si="3"/>
        <v>4595.25759</v>
      </c>
    </row>
    <row r="123" spans="2:7" ht="12">
      <c r="B123" s="7">
        <v>117</v>
      </c>
      <c r="C123" s="8" t="s">
        <v>279</v>
      </c>
      <c r="D123" s="8" t="s">
        <v>206</v>
      </c>
      <c r="E123" s="20">
        <v>0.0023</v>
      </c>
      <c r="F123" s="10">
        <v>2742.9024</v>
      </c>
      <c r="G123" s="11">
        <f t="shared" si="3"/>
        <v>6.3086755199999995</v>
      </c>
    </row>
    <row r="124" spans="2:7" ht="12">
      <c r="B124" s="7">
        <v>118</v>
      </c>
      <c r="C124" s="8" t="s">
        <v>280</v>
      </c>
      <c r="D124" s="8" t="s">
        <v>206</v>
      </c>
      <c r="E124" s="20">
        <v>0.51</v>
      </c>
      <c r="F124" s="10">
        <v>2482.8041</v>
      </c>
      <c r="G124" s="11">
        <f t="shared" si="3"/>
        <v>1266.230091</v>
      </c>
    </row>
    <row r="125" spans="2:7" ht="12">
      <c r="B125" s="7">
        <v>119</v>
      </c>
      <c r="C125" s="8" t="s">
        <v>281</v>
      </c>
      <c r="D125" s="8" t="s">
        <v>206</v>
      </c>
      <c r="E125" s="20">
        <v>0.001</v>
      </c>
      <c r="F125" s="10">
        <v>3879.2452999999996</v>
      </c>
      <c r="G125" s="11">
        <f t="shared" si="3"/>
        <v>3.8792452999999996</v>
      </c>
    </row>
    <row r="126" spans="2:7" ht="12">
      <c r="B126" s="7">
        <v>120</v>
      </c>
      <c r="C126" s="8" t="s">
        <v>282</v>
      </c>
      <c r="D126" s="8" t="s">
        <v>204</v>
      </c>
      <c r="E126" s="20">
        <v>0.0012501</v>
      </c>
      <c r="F126" s="10">
        <v>61795.867</v>
      </c>
      <c r="G126" s="11">
        <f t="shared" si="3"/>
        <v>77.2510133367</v>
      </c>
    </row>
    <row r="127" spans="2:7" ht="12">
      <c r="B127" s="7">
        <v>121</v>
      </c>
      <c r="C127" s="8" t="s">
        <v>283</v>
      </c>
      <c r="D127" s="8" t="s">
        <v>199</v>
      </c>
      <c r="E127" s="20">
        <v>0.25</v>
      </c>
      <c r="F127" s="10">
        <v>135.9932</v>
      </c>
      <c r="G127" s="11">
        <f t="shared" si="3"/>
        <v>33.9983</v>
      </c>
    </row>
    <row r="128" spans="2:7" ht="12">
      <c r="B128" s="7">
        <v>122</v>
      </c>
      <c r="C128" s="8" t="s">
        <v>284</v>
      </c>
      <c r="D128" s="8" t="s">
        <v>199</v>
      </c>
      <c r="E128" s="20">
        <v>0.25</v>
      </c>
      <c r="F128" s="10">
        <v>15463.609699999999</v>
      </c>
      <c r="G128" s="11">
        <f t="shared" si="3"/>
        <v>3865.9024249999998</v>
      </c>
    </row>
    <row r="129" spans="2:7" ht="12">
      <c r="B129" s="7">
        <v>123</v>
      </c>
      <c r="C129" s="8" t="s">
        <v>285</v>
      </c>
      <c r="D129" s="8" t="s">
        <v>217</v>
      </c>
      <c r="E129" s="20">
        <v>0.8</v>
      </c>
      <c r="F129" s="10">
        <v>89.2262</v>
      </c>
      <c r="G129" s="11">
        <f t="shared" si="3"/>
        <v>71.38096</v>
      </c>
    </row>
    <row r="130" spans="2:7" ht="12">
      <c r="B130" s="7">
        <v>124</v>
      </c>
      <c r="C130" s="8" t="s">
        <v>286</v>
      </c>
      <c r="D130" s="8" t="s">
        <v>217</v>
      </c>
      <c r="E130" s="20">
        <v>0.05</v>
      </c>
      <c r="F130" s="10">
        <v>259.47950000000003</v>
      </c>
      <c r="G130" s="11">
        <f t="shared" si="3"/>
        <v>12.973975000000003</v>
      </c>
    </row>
    <row r="131" spans="2:7" ht="12">
      <c r="B131" s="7">
        <v>125</v>
      </c>
      <c r="C131" s="8" t="s">
        <v>287</v>
      </c>
      <c r="D131" s="8" t="s">
        <v>224</v>
      </c>
      <c r="E131" s="20">
        <v>138</v>
      </c>
      <c r="F131" s="10">
        <v>11.6382</v>
      </c>
      <c r="G131" s="11">
        <f t="shared" si="3"/>
        <v>1606.0716</v>
      </c>
    </row>
    <row r="132" spans="2:7" ht="12">
      <c r="B132" s="7">
        <v>126</v>
      </c>
      <c r="C132" s="8" t="s">
        <v>288</v>
      </c>
      <c r="D132" s="8" t="s">
        <v>199</v>
      </c>
      <c r="E132" s="20">
        <v>1.83</v>
      </c>
      <c r="F132" s="10">
        <v>15.4343</v>
      </c>
      <c r="G132" s="11">
        <f t="shared" si="3"/>
        <v>28.244769</v>
      </c>
    </row>
    <row r="133" spans="2:7" ht="12">
      <c r="B133" s="7">
        <v>127</v>
      </c>
      <c r="C133" s="8" t="s">
        <v>289</v>
      </c>
      <c r="D133" s="8" t="s">
        <v>217</v>
      </c>
      <c r="E133" s="20">
        <v>0.294</v>
      </c>
      <c r="F133" s="10">
        <v>37.8777</v>
      </c>
      <c r="G133" s="11">
        <f t="shared" si="3"/>
        <v>11.136043799999998</v>
      </c>
    </row>
    <row r="134" spans="2:7" ht="24">
      <c r="B134" s="7">
        <v>128</v>
      </c>
      <c r="C134" s="8" t="s">
        <v>290</v>
      </c>
      <c r="D134" s="8" t="s">
        <v>204</v>
      </c>
      <c r="E134" s="20">
        <v>0.00024</v>
      </c>
      <c r="F134" s="10">
        <v>174718.87019999998</v>
      </c>
      <c r="G134" s="11">
        <f t="shared" si="3"/>
        <v>41.932528848</v>
      </c>
    </row>
    <row r="135" spans="2:7" ht="24">
      <c r="B135" s="7">
        <v>129</v>
      </c>
      <c r="C135" s="8" t="s">
        <v>291</v>
      </c>
      <c r="D135" s="8" t="s">
        <v>204</v>
      </c>
      <c r="E135" s="20">
        <v>0.0003</v>
      </c>
      <c r="F135" s="10">
        <v>176273.2482</v>
      </c>
      <c r="G135" s="11">
        <f t="shared" si="3"/>
        <v>52.881974459999995</v>
      </c>
    </row>
    <row r="136" spans="2:7" ht="12">
      <c r="B136" s="7">
        <v>130</v>
      </c>
      <c r="C136" s="8" t="s">
        <v>292</v>
      </c>
      <c r="D136" s="8" t="s">
        <v>204</v>
      </c>
      <c r="E136" s="20">
        <v>0.01038</v>
      </c>
      <c r="F136" s="10">
        <v>29779.3811</v>
      </c>
      <c r="G136" s="11">
        <f t="shared" si="3"/>
        <v>309.109975818</v>
      </c>
    </row>
    <row r="137" spans="2:7" ht="24">
      <c r="B137" s="7">
        <v>131</v>
      </c>
      <c r="C137" s="8" t="s">
        <v>293</v>
      </c>
      <c r="D137" s="8" t="s">
        <v>224</v>
      </c>
      <c r="E137" s="20">
        <v>0.68666667</v>
      </c>
      <c r="F137" s="10">
        <v>191.0188</v>
      </c>
      <c r="G137" s="11">
        <f t="shared" si="3"/>
        <v>131.16624330339602</v>
      </c>
    </row>
    <row r="138" spans="2:7" ht="12">
      <c r="B138" s="7">
        <v>132</v>
      </c>
      <c r="C138" s="8" t="s">
        <v>294</v>
      </c>
      <c r="D138" s="8" t="s">
        <v>204</v>
      </c>
      <c r="E138" s="20">
        <v>1E-05</v>
      </c>
      <c r="F138" s="10">
        <v>41189.505699999994</v>
      </c>
      <c r="G138" s="11">
        <f t="shared" si="3"/>
        <v>0.41189505699999995</v>
      </c>
    </row>
    <row r="139" spans="2:7" ht="12">
      <c r="B139" s="7">
        <v>133</v>
      </c>
      <c r="C139" s="8" t="s">
        <v>295</v>
      </c>
      <c r="D139" s="8" t="s">
        <v>204</v>
      </c>
      <c r="E139" s="20">
        <v>0.0002442</v>
      </c>
      <c r="F139" s="10">
        <v>105713.1145</v>
      </c>
      <c r="G139" s="11">
        <f t="shared" si="3"/>
        <v>25.815142560900004</v>
      </c>
    </row>
    <row r="140" spans="2:7" ht="12">
      <c r="B140" s="7">
        <v>134</v>
      </c>
      <c r="C140" s="8" t="s">
        <v>296</v>
      </c>
      <c r="D140" s="8" t="s">
        <v>204</v>
      </c>
      <c r="E140" s="20">
        <v>0.00033</v>
      </c>
      <c r="F140" s="10">
        <v>7101.3726</v>
      </c>
      <c r="G140" s="11">
        <f t="shared" si="3"/>
        <v>2.343452958</v>
      </c>
    </row>
    <row r="141" spans="2:7" ht="12">
      <c r="B141" s="7">
        <v>135</v>
      </c>
      <c r="C141" s="8" t="s">
        <v>297</v>
      </c>
      <c r="D141" s="8" t="s">
        <v>298</v>
      </c>
      <c r="E141" s="20">
        <v>2.3298</v>
      </c>
      <c r="F141" s="10">
        <v>255.55249999999998</v>
      </c>
      <c r="G141" s="11">
        <f t="shared" si="3"/>
        <v>595.3862144999999</v>
      </c>
    </row>
    <row r="142" spans="2:7" ht="36">
      <c r="B142" s="7">
        <v>136</v>
      </c>
      <c r="C142" s="8" t="s">
        <v>299</v>
      </c>
      <c r="D142" s="8" t="s">
        <v>204</v>
      </c>
      <c r="E142" s="20">
        <v>0.0006</v>
      </c>
      <c r="F142" s="10">
        <v>27909.605499999998</v>
      </c>
      <c r="G142" s="11">
        <f t="shared" si="3"/>
        <v>16.745763299999997</v>
      </c>
    </row>
    <row r="143" spans="2:7" ht="12">
      <c r="B143" s="7">
        <v>137</v>
      </c>
      <c r="C143" s="8" t="s">
        <v>300</v>
      </c>
      <c r="D143" s="8" t="s">
        <v>301</v>
      </c>
      <c r="E143" s="20">
        <v>8</v>
      </c>
      <c r="F143" s="10">
        <v>177.2267</v>
      </c>
      <c r="G143" s="11">
        <f t="shared" si="3"/>
        <v>1417.8136</v>
      </c>
    </row>
    <row r="144" spans="2:7" ht="12">
      <c r="B144" s="7">
        <v>138</v>
      </c>
      <c r="C144" s="8" t="s">
        <v>302</v>
      </c>
      <c r="D144" s="8" t="s">
        <v>301</v>
      </c>
      <c r="E144" s="20">
        <v>12.2</v>
      </c>
      <c r="F144" s="10">
        <v>230.6934</v>
      </c>
      <c r="G144" s="11">
        <f t="shared" si="3"/>
        <v>2814.45948</v>
      </c>
    </row>
    <row r="145" spans="2:7" ht="24">
      <c r="B145" s="7">
        <v>139</v>
      </c>
      <c r="C145" s="8" t="s">
        <v>303</v>
      </c>
      <c r="D145" s="8" t="s">
        <v>301</v>
      </c>
      <c r="E145" s="20">
        <v>9.98</v>
      </c>
      <c r="F145" s="10">
        <v>115.51329999999999</v>
      </c>
      <c r="G145" s="11">
        <f aca="true" t="shared" si="4" ref="G145:G159">E145*F145</f>
        <v>1152.8227339999999</v>
      </c>
    </row>
    <row r="146" spans="2:7" ht="24">
      <c r="B146" s="7">
        <v>140</v>
      </c>
      <c r="C146" s="8" t="s">
        <v>304</v>
      </c>
      <c r="D146" s="8" t="s">
        <v>301</v>
      </c>
      <c r="E146" s="20">
        <v>9.98</v>
      </c>
      <c r="F146" s="10">
        <v>206.4174</v>
      </c>
      <c r="G146" s="11">
        <f t="shared" si="4"/>
        <v>2060.045652</v>
      </c>
    </row>
    <row r="147" spans="2:7" ht="36">
      <c r="B147" s="7">
        <v>141</v>
      </c>
      <c r="C147" s="8" t="s">
        <v>305</v>
      </c>
      <c r="D147" s="8" t="s">
        <v>301</v>
      </c>
      <c r="E147" s="20">
        <v>0</v>
      </c>
      <c r="F147" s="10">
        <v>117.67909999999999</v>
      </c>
      <c r="G147" s="11">
        <f t="shared" si="4"/>
        <v>0</v>
      </c>
    </row>
    <row r="148" spans="2:7" ht="36">
      <c r="B148" s="7">
        <v>142</v>
      </c>
      <c r="C148" s="8" t="s">
        <v>306</v>
      </c>
      <c r="D148" s="8" t="s">
        <v>301</v>
      </c>
      <c r="E148" s="20">
        <v>22</v>
      </c>
      <c r="F148" s="10">
        <v>152.8079</v>
      </c>
      <c r="G148" s="11">
        <f t="shared" si="4"/>
        <v>3361.7738</v>
      </c>
    </row>
    <row r="149" spans="2:7" ht="36">
      <c r="B149" s="7">
        <v>143</v>
      </c>
      <c r="C149" s="8" t="s">
        <v>307</v>
      </c>
      <c r="D149" s="8" t="s">
        <v>301</v>
      </c>
      <c r="E149" s="20">
        <v>10</v>
      </c>
      <c r="F149" s="10">
        <v>237.9405</v>
      </c>
      <c r="G149" s="11">
        <f t="shared" si="4"/>
        <v>2379.4049999999997</v>
      </c>
    </row>
    <row r="150" spans="2:7" ht="36">
      <c r="B150" s="7">
        <v>144</v>
      </c>
      <c r="C150" s="8" t="s">
        <v>308</v>
      </c>
      <c r="D150" s="8" t="s">
        <v>301</v>
      </c>
      <c r="E150" s="20">
        <v>10</v>
      </c>
      <c r="F150" s="10">
        <v>249.80479999999997</v>
      </c>
      <c r="G150" s="11">
        <f t="shared" si="4"/>
        <v>2498.048</v>
      </c>
    </row>
    <row r="151" spans="2:7" ht="36">
      <c r="B151" s="7">
        <v>145</v>
      </c>
      <c r="C151" s="8" t="s">
        <v>309</v>
      </c>
      <c r="D151" s="8" t="s">
        <v>301</v>
      </c>
      <c r="E151" s="20">
        <v>12</v>
      </c>
      <c r="F151" s="10">
        <v>429.1259</v>
      </c>
      <c r="G151" s="11">
        <f t="shared" si="4"/>
        <v>5149.5108</v>
      </c>
    </row>
    <row r="152" spans="2:7" ht="36">
      <c r="B152" s="7">
        <v>146</v>
      </c>
      <c r="C152" s="8" t="s">
        <v>310</v>
      </c>
      <c r="D152" s="8" t="s">
        <v>301</v>
      </c>
      <c r="E152" s="20">
        <v>3</v>
      </c>
      <c r="F152" s="10">
        <v>350.5383</v>
      </c>
      <c r="G152" s="11">
        <f t="shared" si="4"/>
        <v>1051.6149</v>
      </c>
    </row>
    <row r="153" spans="2:7" ht="36">
      <c r="B153" s="7">
        <v>147</v>
      </c>
      <c r="C153" s="8" t="s">
        <v>311</v>
      </c>
      <c r="D153" s="8" t="s">
        <v>301</v>
      </c>
      <c r="E153" s="20">
        <v>21</v>
      </c>
      <c r="F153" s="10">
        <v>50.8249</v>
      </c>
      <c r="G153" s="11">
        <f t="shared" si="4"/>
        <v>1067.3229</v>
      </c>
    </row>
    <row r="154" spans="2:7" ht="36">
      <c r="B154" s="7">
        <v>148</v>
      </c>
      <c r="C154" s="8" t="s">
        <v>312</v>
      </c>
      <c r="D154" s="8" t="s">
        <v>301</v>
      </c>
      <c r="E154" s="20">
        <v>12.5</v>
      </c>
      <c r="F154" s="10">
        <v>95.55699999999999</v>
      </c>
      <c r="G154" s="11">
        <f t="shared" si="4"/>
        <v>1194.4624999999999</v>
      </c>
    </row>
    <row r="155" spans="2:7" ht="12">
      <c r="B155" s="7">
        <v>149</v>
      </c>
      <c r="C155" s="8" t="s">
        <v>313</v>
      </c>
      <c r="D155" s="8" t="s">
        <v>224</v>
      </c>
      <c r="E155" s="20">
        <v>0.1154</v>
      </c>
      <c r="F155" s="10">
        <v>237.0718</v>
      </c>
      <c r="G155" s="11">
        <f t="shared" si="4"/>
        <v>27.358085720000002</v>
      </c>
    </row>
    <row r="156" spans="2:7" ht="12">
      <c r="B156" s="7">
        <v>150</v>
      </c>
      <c r="C156" s="8" t="s">
        <v>314</v>
      </c>
      <c r="D156" s="8" t="s">
        <v>204</v>
      </c>
      <c r="E156" s="20">
        <v>0.00775</v>
      </c>
      <c r="F156" s="10">
        <v>13739.109299999998</v>
      </c>
      <c r="G156" s="11">
        <f t="shared" si="4"/>
        <v>106.47809707499998</v>
      </c>
    </row>
    <row r="157" spans="2:7" ht="12">
      <c r="B157" s="7">
        <v>151</v>
      </c>
      <c r="C157" s="8" t="s">
        <v>315</v>
      </c>
      <c r="D157" s="8" t="s">
        <v>301</v>
      </c>
      <c r="E157" s="20">
        <v>4.08</v>
      </c>
      <c r="F157" s="10">
        <v>85.1445</v>
      </c>
      <c r="G157" s="11">
        <f t="shared" si="4"/>
        <v>347.38955999999996</v>
      </c>
    </row>
    <row r="158" spans="2:7" ht="12">
      <c r="B158" s="7">
        <v>152</v>
      </c>
      <c r="C158" s="8" t="s">
        <v>316</v>
      </c>
      <c r="D158" s="8" t="s">
        <v>204</v>
      </c>
      <c r="E158" s="20">
        <v>0.0005858</v>
      </c>
      <c r="F158" s="10">
        <v>48488.93</v>
      </c>
      <c r="G158" s="11">
        <f t="shared" si="4"/>
        <v>28.404815194</v>
      </c>
    </row>
    <row r="159" spans="2:7" ht="12">
      <c r="B159" s="7">
        <v>153</v>
      </c>
      <c r="C159" s="8" t="s">
        <v>317</v>
      </c>
      <c r="D159" s="8" t="s">
        <v>204</v>
      </c>
      <c r="E159" s="20">
        <v>2E-05</v>
      </c>
      <c r="F159" s="10">
        <v>46803.771</v>
      </c>
      <c r="G159" s="11">
        <f t="shared" si="4"/>
        <v>0.9360754200000001</v>
      </c>
    </row>
    <row r="160" spans="2:7" ht="12">
      <c r="B160" s="182" t="s">
        <v>139</v>
      </c>
      <c r="C160" s="182"/>
      <c r="D160" s="182"/>
      <c r="E160" s="182"/>
      <c r="F160" s="182"/>
      <c r="G160" s="22">
        <f>SUM(G49:G159)</f>
        <v>94340.68664628513</v>
      </c>
    </row>
    <row r="161" spans="2:7" ht="12.75" customHeight="1">
      <c r="B161" s="183" t="s">
        <v>318</v>
      </c>
      <c r="C161" s="183"/>
      <c r="D161" s="183"/>
      <c r="E161" s="183"/>
      <c r="F161" s="183"/>
      <c r="G161" s="183"/>
    </row>
    <row r="162" spans="2:7" ht="12">
      <c r="B162" s="15">
        <v>154</v>
      </c>
      <c r="C162" s="16" t="s">
        <v>319</v>
      </c>
      <c r="D162" s="16" t="s">
        <v>199</v>
      </c>
      <c r="E162" s="17">
        <v>0.16536508</v>
      </c>
      <c r="F162" s="18">
        <v>104.3987</v>
      </c>
      <c r="G162" s="19">
        <f aca="true" t="shared" si="5" ref="G162:G169">E162*F162</f>
        <v>17.263899377396</v>
      </c>
    </row>
    <row r="163" spans="2:7" ht="12">
      <c r="B163" s="7">
        <v>155</v>
      </c>
      <c r="C163" s="8" t="s">
        <v>320</v>
      </c>
      <c r="D163" s="8" t="s">
        <v>199</v>
      </c>
      <c r="E163" s="20">
        <v>0.76437683</v>
      </c>
      <c r="F163" s="10">
        <v>77.3976</v>
      </c>
      <c r="G163" s="11">
        <f t="shared" si="5"/>
        <v>59.160932137608</v>
      </c>
    </row>
    <row r="164" spans="2:7" ht="12">
      <c r="B164" s="7">
        <v>156</v>
      </c>
      <c r="C164" s="8" t="s">
        <v>321</v>
      </c>
      <c r="D164" s="8" t="s">
        <v>199</v>
      </c>
      <c r="E164" s="20">
        <v>0.00525</v>
      </c>
      <c r="F164" s="10">
        <v>250.4831</v>
      </c>
      <c r="G164" s="11">
        <f t="shared" si="5"/>
        <v>1.3150362750000002</v>
      </c>
    </row>
    <row r="165" spans="2:7" ht="12">
      <c r="B165" s="7">
        <v>157</v>
      </c>
      <c r="C165" s="8" t="s">
        <v>322</v>
      </c>
      <c r="D165" s="8" t="s">
        <v>199</v>
      </c>
      <c r="E165" s="20">
        <v>10.5258</v>
      </c>
      <c r="F165" s="10">
        <v>66.8423</v>
      </c>
      <c r="G165" s="11">
        <f t="shared" si="5"/>
        <v>703.56868134</v>
      </c>
    </row>
    <row r="166" spans="2:7" ht="12">
      <c r="B166" s="7">
        <v>158</v>
      </c>
      <c r="C166" s="8" t="s">
        <v>323</v>
      </c>
      <c r="D166" s="8" t="s">
        <v>199</v>
      </c>
      <c r="E166" s="20">
        <v>0.00525</v>
      </c>
      <c r="F166" s="10">
        <v>135.66</v>
      </c>
      <c r="G166" s="11">
        <f t="shared" si="5"/>
        <v>0.712215</v>
      </c>
    </row>
    <row r="167" spans="2:7" ht="12">
      <c r="B167" s="7">
        <v>159</v>
      </c>
      <c r="C167" s="8" t="s">
        <v>324</v>
      </c>
      <c r="D167" s="8" t="s">
        <v>199</v>
      </c>
      <c r="E167" s="20">
        <v>0.06651044</v>
      </c>
      <c r="F167" s="10">
        <v>82.943</v>
      </c>
      <c r="G167" s="11">
        <f t="shared" si="5"/>
        <v>5.51657542492</v>
      </c>
    </row>
    <row r="168" spans="2:7" ht="12">
      <c r="B168" s="7">
        <v>160</v>
      </c>
      <c r="C168" s="8" t="s">
        <v>325</v>
      </c>
      <c r="D168" s="8" t="s">
        <v>199</v>
      </c>
      <c r="E168" s="20">
        <v>0.16712499</v>
      </c>
      <c r="F168" s="10">
        <v>51.74119999999999</v>
      </c>
      <c r="G168" s="11">
        <f t="shared" si="5"/>
        <v>8.647247532587999</v>
      </c>
    </row>
    <row r="169" spans="2:7" ht="12">
      <c r="B169" s="7">
        <v>161</v>
      </c>
      <c r="C169" s="8" t="s">
        <v>326</v>
      </c>
      <c r="D169" s="8" t="s">
        <v>199</v>
      </c>
      <c r="E169" s="20">
        <v>0.2427504</v>
      </c>
      <c r="F169" s="10">
        <v>200.039</v>
      </c>
      <c r="G169" s="11">
        <f t="shared" si="5"/>
        <v>48.559547265599996</v>
      </c>
    </row>
    <row r="170" spans="2:7" ht="12">
      <c r="B170" s="182" t="s">
        <v>139</v>
      </c>
      <c r="C170" s="182"/>
      <c r="D170" s="182"/>
      <c r="E170" s="182"/>
      <c r="F170" s="182"/>
      <c r="G170" s="22">
        <f>SUM(G162:G169)</f>
        <v>844.7441343531121</v>
      </c>
    </row>
    <row r="171" spans="2:7" ht="12.75" customHeight="1">
      <c r="B171" s="183" t="s">
        <v>327</v>
      </c>
      <c r="C171" s="183"/>
      <c r="D171" s="183"/>
      <c r="E171" s="183"/>
      <c r="F171" s="183"/>
      <c r="G171" s="183"/>
    </row>
    <row r="172" spans="2:7" ht="12">
      <c r="B172" s="15">
        <v>162</v>
      </c>
      <c r="C172" s="16" t="s">
        <v>328</v>
      </c>
      <c r="D172" s="16" t="s">
        <v>329</v>
      </c>
      <c r="E172" s="17">
        <v>27.205</v>
      </c>
      <c r="F172" s="18">
        <v>949.2588</v>
      </c>
      <c r="G172" s="19">
        <f>E172*F172</f>
        <v>25824.585654</v>
      </c>
    </row>
    <row r="173" spans="2:7" ht="12">
      <c r="B173" s="7">
        <v>163</v>
      </c>
      <c r="C173" s="8" t="s">
        <v>330</v>
      </c>
      <c r="D173" s="8" t="s">
        <v>329</v>
      </c>
      <c r="E173" s="20">
        <v>50.66775</v>
      </c>
      <c r="F173" s="10">
        <v>86.99040000000001</v>
      </c>
      <c r="G173" s="11">
        <f>E173*F173</f>
        <v>4407.6078396</v>
      </c>
    </row>
    <row r="174" spans="2:7" ht="12">
      <c r="B174" s="7">
        <v>164</v>
      </c>
      <c r="C174" s="8" t="s">
        <v>331</v>
      </c>
      <c r="D174" s="8" t="s">
        <v>332</v>
      </c>
      <c r="E174" s="20">
        <v>26.275</v>
      </c>
      <c r="F174" s="10">
        <v>693.7182</v>
      </c>
      <c r="G174" s="11">
        <f>E174*F174</f>
        <v>18227.445705</v>
      </c>
    </row>
    <row r="175" spans="2:7" ht="12">
      <c r="B175" s="7">
        <v>165</v>
      </c>
      <c r="C175" s="8" t="s">
        <v>333</v>
      </c>
      <c r="D175" s="8" t="s">
        <v>332</v>
      </c>
      <c r="E175" s="20">
        <v>0.465</v>
      </c>
      <c r="F175" s="10">
        <v>390.5496</v>
      </c>
      <c r="G175" s="11">
        <f>E175*F175</f>
        <v>181.60556400000002</v>
      </c>
    </row>
    <row r="176" spans="2:7" ht="12">
      <c r="B176" s="182" t="s">
        <v>139</v>
      </c>
      <c r="C176" s="182"/>
      <c r="D176" s="182"/>
      <c r="E176" s="182"/>
      <c r="F176" s="182"/>
      <c r="G176" s="22">
        <f>SUM(G172:G175)</f>
        <v>48641.24476259999</v>
      </c>
    </row>
  </sheetData>
  <sheetProtection selectLockedCells="1" selectUnlockedCells="1"/>
  <mergeCells count="9">
    <mergeCell ref="B170:F170"/>
    <mergeCell ref="B171:G171"/>
    <mergeCell ref="B176:F176"/>
    <mergeCell ref="B1:G1"/>
    <mergeCell ref="B4:G4"/>
    <mergeCell ref="B47:F47"/>
    <mergeCell ref="B48:G48"/>
    <mergeCell ref="B160:F160"/>
    <mergeCell ref="B161:G161"/>
  </mergeCells>
  <printOptions/>
  <pageMargins left="0.35" right="0.35" top="0.35" bottom="0.35" header="0.5118055555555555" footer="0.3"/>
  <pageSetup fitToHeight="0" fitToWidth="1" horizontalDpi="300" verticalDpi="300" orientation="portrait" paperSize="9" scale="90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zoomScale="89" zoomScaleNormal="89" zoomScalePageLayoutView="0" workbookViewId="0" topLeftCell="B1">
      <pane xSplit="2" ySplit="5" topLeftCell="D59" activePane="bottomRight" state="frozen"/>
      <selection pane="topLeft" activeCell="B1" sqref="B1"/>
      <selection pane="topRight" activeCell="D1" sqref="D1"/>
      <selection pane="bottomLeft" activeCell="B6" sqref="B6"/>
      <selection pane="bottomRight" activeCell="C73" sqref="C73"/>
    </sheetView>
  </sheetViews>
  <sheetFormatPr defaultColWidth="9.140625" defaultRowHeight="12"/>
  <cols>
    <col min="1" max="1" width="0" style="1" hidden="1" customWidth="1"/>
    <col min="2" max="2" width="7.00390625" style="1" customWidth="1"/>
    <col min="3" max="3" width="50.00390625" style="1" customWidth="1"/>
    <col min="4" max="4" width="18.00390625" style="1" customWidth="1"/>
    <col min="5" max="5" width="15.00390625" style="1" customWidth="1"/>
    <col min="6" max="6" width="12.00390625" style="1" customWidth="1"/>
    <col min="7" max="12" width="13.00390625" style="1" customWidth="1"/>
    <col min="13" max="13" width="12.57421875" style="1" customWidth="1"/>
    <col min="14" max="15" width="12.57421875" style="0" customWidth="1"/>
    <col min="16" max="16" width="10.00390625" style="52" customWidth="1"/>
  </cols>
  <sheetData>
    <row r="1" spans="2:13" ht="27.75" customHeight="1"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ht="12.75" thickBot="1"/>
    <row r="3" spans="1:16" ht="54.75" thickBot="1">
      <c r="A3" s="2"/>
      <c r="B3" s="3" t="s">
        <v>1</v>
      </c>
      <c r="C3" s="4" t="s">
        <v>2</v>
      </c>
      <c r="D3" s="4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34" t="s">
        <v>12</v>
      </c>
      <c r="N3" s="70" t="s">
        <v>340</v>
      </c>
      <c r="O3" s="79" t="s">
        <v>341</v>
      </c>
      <c r="P3" s="58"/>
    </row>
    <row r="4" spans="2:16" ht="19.5" customHeight="1" thickBot="1">
      <c r="B4" s="196" t="s">
        <v>345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7"/>
      <c r="N4" s="37"/>
      <c r="O4" s="37"/>
      <c r="P4" s="58"/>
    </row>
    <row r="5" spans="2:16" ht="19.5" customHeight="1">
      <c r="B5" s="196" t="s">
        <v>13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7"/>
      <c r="N5" s="37"/>
      <c r="O5" s="37"/>
      <c r="P5" s="58"/>
    </row>
    <row r="6" spans="2:16" ht="24.75" customHeight="1">
      <c r="B6" s="7">
        <v>1</v>
      </c>
      <c r="C6" s="8" t="s">
        <v>14</v>
      </c>
      <c r="D6" s="8" t="s">
        <v>15</v>
      </c>
      <c r="E6" s="9">
        <v>0.05</v>
      </c>
      <c r="F6" s="9">
        <v>1</v>
      </c>
      <c r="G6" s="10">
        <f>4129.831745*E6*F6</f>
        <v>206.49158725000004</v>
      </c>
      <c r="H6" s="10">
        <f>36014.7796925*E6*F6</f>
        <v>1800.738984625</v>
      </c>
      <c r="I6" s="10">
        <f>0*E6*F6</f>
        <v>0</v>
      </c>
      <c r="J6" s="10">
        <f>3464.928834055*E6*F6</f>
        <v>173.24644170275002</v>
      </c>
      <c r="K6" s="10">
        <f>1526.3339095044*E6*F6</f>
        <v>76.31669547522</v>
      </c>
      <c r="L6" s="10"/>
      <c r="M6" s="35">
        <f>SUM(G6:L6)</f>
        <v>2256.7937090529704</v>
      </c>
      <c r="N6" s="71">
        <f aca="true" t="shared" si="0" ref="N6:N36">M6/12/580</f>
        <v>0.3242519696915187</v>
      </c>
      <c r="O6" s="71">
        <f>N6*1.18</f>
        <v>0.38261732423599204</v>
      </c>
      <c r="P6" s="188">
        <f>SUM(O6:O10)</f>
        <v>1.4062741413206719</v>
      </c>
    </row>
    <row r="7" spans="2:16" ht="36">
      <c r="B7" s="7">
        <v>3</v>
      </c>
      <c r="C7" s="8" t="s">
        <v>18</v>
      </c>
      <c r="D7" s="8" t="s">
        <v>19</v>
      </c>
      <c r="E7" s="9">
        <v>0.1</v>
      </c>
      <c r="F7" s="9">
        <v>1</v>
      </c>
      <c r="G7" s="10">
        <f>17034.9075*E7*F7</f>
        <v>1703.4907500000002</v>
      </c>
      <c r="H7" s="10">
        <f>7815.316908*E7*F7</f>
        <v>781.5316908</v>
      </c>
      <c r="I7" s="10">
        <f>242.140752*E7*F7</f>
        <v>24.2140752</v>
      </c>
      <c r="J7" s="10">
        <f>14371.321877124*E7*F7</f>
        <v>1437.1321877124</v>
      </c>
      <c r="K7" s="10">
        <f>1381.2290462993*E7*F7</f>
        <v>138.12290462993002</v>
      </c>
      <c r="L7" s="10"/>
      <c r="M7" s="35">
        <f>SUM(G7:L7)</f>
        <v>4084.4916083423304</v>
      </c>
      <c r="N7" s="71">
        <f t="shared" si="0"/>
        <v>0.5868522425779211</v>
      </c>
      <c r="O7" s="71">
        <f>N7*1.18</f>
        <v>0.6924856462419469</v>
      </c>
      <c r="P7" s="189"/>
    </row>
    <row r="8" spans="2:16" ht="24">
      <c r="B8" s="7">
        <v>5</v>
      </c>
      <c r="C8" s="8" t="s">
        <v>22</v>
      </c>
      <c r="D8" s="8" t="s">
        <v>23</v>
      </c>
      <c r="E8" s="9">
        <v>0.1</v>
      </c>
      <c r="F8" s="9">
        <v>1</v>
      </c>
      <c r="G8" s="10">
        <f>1385.2254*E8*F8</f>
        <v>138.52254000000002</v>
      </c>
      <c r="H8" s="10">
        <f>368.5874346*E8*F8</f>
        <v>36.85874346</v>
      </c>
      <c r="I8" s="10">
        <f>0*E8*F8</f>
        <v>0</v>
      </c>
      <c r="J8" s="10">
        <f>1162.2041106*E8*F8</f>
        <v>116.22041106</v>
      </c>
      <c r="K8" s="10">
        <f>102.060593082*E8*F8</f>
        <v>10.2060593082</v>
      </c>
      <c r="L8" s="10"/>
      <c r="M8" s="35">
        <f>SUM(G8:L8)</f>
        <v>301.8077538282</v>
      </c>
      <c r="N8" s="71">
        <f t="shared" si="0"/>
        <v>0.043363183021293106</v>
      </c>
      <c r="O8" s="71">
        <f>N8*1.18</f>
        <v>0.05116855596512586</v>
      </c>
      <c r="P8" s="189"/>
    </row>
    <row r="9" spans="2:16" ht="24">
      <c r="B9" s="7">
        <v>6</v>
      </c>
      <c r="C9" s="8" t="s">
        <v>24</v>
      </c>
      <c r="D9" s="8" t="s">
        <v>23</v>
      </c>
      <c r="E9" s="9">
        <v>0.05</v>
      </c>
      <c r="F9" s="9">
        <v>1</v>
      </c>
      <c r="G9" s="10">
        <f>1385.2254*E9*F9</f>
        <v>69.26127000000001</v>
      </c>
      <c r="H9" s="10">
        <f>1227.194445594*E9*F9</f>
        <v>61.3597222797</v>
      </c>
      <c r="I9" s="10">
        <f>0*E9*F9</f>
        <v>0</v>
      </c>
      <c r="J9" s="10">
        <f>1162.2041106*E9*F9</f>
        <v>58.11020553</v>
      </c>
      <c r="K9" s="10">
        <f>132.11183846679*E9*F9</f>
        <v>6.6055919233395</v>
      </c>
      <c r="L9" s="10"/>
      <c r="M9" s="35">
        <f>SUM(G9:L9)</f>
        <v>195.3367897330395</v>
      </c>
      <c r="N9" s="71">
        <f t="shared" si="0"/>
        <v>0.02806563070877004</v>
      </c>
      <c r="O9" s="71">
        <f>N9*1.18</f>
        <v>0.033117444236348645</v>
      </c>
      <c r="P9" s="189"/>
    </row>
    <row r="10" spans="2:16" ht="12">
      <c r="B10" s="7">
        <v>8</v>
      </c>
      <c r="C10" s="8" t="s">
        <v>335</v>
      </c>
      <c r="D10" s="8" t="s">
        <v>28</v>
      </c>
      <c r="E10" s="9">
        <v>0.08</v>
      </c>
      <c r="F10" s="9">
        <v>1</v>
      </c>
      <c r="G10" s="10">
        <f>4155.6762*E10*F10</f>
        <v>332.454096</v>
      </c>
      <c r="H10" s="10">
        <f>9944.71699165*E10*F10</f>
        <v>795.577359332</v>
      </c>
      <c r="I10" s="10">
        <f>0*E10*F10</f>
        <v>0</v>
      </c>
      <c r="J10" s="10">
        <f>3486.6123318*E10*F10</f>
        <v>278.928986544</v>
      </c>
      <c r="K10" s="10">
        <f>615.54519332075*E10*F10</f>
        <v>49.24361546566</v>
      </c>
      <c r="L10" s="10"/>
      <c r="M10" s="35">
        <f>SUM(G10:L10)</f>
        <v>1456.20405734166</v>
      </c>
      <c r="N10" s="71">
        <f t="shared" si="0"/>
        <v>0.20922472088242242</v>
      </c>
      <c r="O10" s="71">
        <f>N10*1.18</f>
        <v>0.24688517064125845</v>
      </c>
      <c r="P10" s="189"/>
    </row>
    <row r="11" spans="2:16" ht="20.25" customHeight="1">
      <c r="B11" s="7"/>
      <c r="C11" s="63" t="s">
        <v>344</v>
      </c>
      <c r="D11" s="62"/>
      <c r="E11" s="63"/>
      <c r="F11" s="63"/>
      <c r="G11" s="64">
        <f aca="true" t="shared" si="1" ref="G11:M11">SUM(G6:G10)</f>
        <v>2450.2202432500003</v>
      </c>
      <c r="H11" s="64">
        <f t="shared" si="1"/>
        <v>3476.0665004967</v>
      </c>
      <c r="I11" s="64">
        <f t="shared" si="1"/>
        <v>24.2140752</v>
      </c>
      <c r="J11" s="64">
        <f t="shared" si="1"/>
        <v>2063.63823254915</v>
      </c>
      <c r="K11" s="64">
        <f t="shared" si="1"/>
        <v>280.4948668023495</v>
      </c>
      <c r="L11" s="64">
        <f t="shared" si="1"/>
        <v>0</v>
      </c>
      <c r="M11" s="69">
        <f t="shared" si="1"/>
        <v>8294.6339182982</v>
      </c>
      <c r="N11" s="72"/>
      <c r="O11" s="72"/>
      <c r="P11" s="58"/>
    </row>
    <row r="12" spans="2:16" ht="15.75">
      <c r="B12" s="184" t="s">
        <v>336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5"/>
      <c r="N12" s="71"/>
      <c r="O12" s="71"/>
      <c r="P12" s="58"/>
    </row>
    <row r="13" spans="2:16" ht="36">
      <c r="B13" s="7">
        <v>19</v>
      </c>
      <c r="C13" s="8" t="s">
        <v>47</v>
      </c>
      <c r="D13" s="8" t="s">
        <v>46</v>
      </c>
      <c r="E13" s="9">
        <v>0.05</v>
      </c>
      <c r="F13" s="9">
        <v>1</v>
      </c>
      <c r="G13" s="10">
        <f>13116.878775*E13*F13</f>
        <v>655.84393875</v>
      </c>
      <c r="H13" s="10">
        <f>19800.660853428*E13*F13</f>
        <v>990.0330426713999</v>
      </c>
      <c r="I13" s="10">
        <f>0*E13*F13</f>
        <v>0</v>
      </c>
      <c r="J13" s="10">
        <f>11005.061292225*E13*F13</f>
        <v>550.25306461125</v>
      </c>
      <c r="K13" s="10">
        <f>1537.2910322229*E13*F13</f>
        <v>76.864551611145</v>
      </c>
      <c r="L13" s="10"/>
      <c r="M13" s="35">
        <f>SUM(G13:L13)</f>
        <v>2272.9945976437953</v>
      </c>
      <c r="N13" s="71">
        <f t="shared" si="0"/>
        <v>0.32657968356951084</v>
      </c>
      <c r="O13" s="71">
        <f>N13*1.18</f>
        <v>0.3853640266120228</v>
      </c>
      <c r="P13" s="188">
        <f>SUM(O13:O15)</f>
        <v>0.9086336367918648</v>
      </c>
    </row>
    <row r="14" spans="2:16" ht="36">
      <c r="B14" s="7">
        <v>20</v>
      </c>
      <c r="C14" s="8" t="s">
        <v>48</v>
      </c>
      <c r="D14" s="8" t="s">
        <v>46</v>
      </c>
      <c r="E14" s="9">
        <v>0.05</v>
      </c>
      <c r="F14" s="9">
        <v>1</v>
      </c>
      <c r="G14" s="10">
        <f>13786.91847*E14*F14</f>
        <v>689.3459235</v>
      </c>
      <c r="H14" s="10">
        <f>26517.70023252*E14*F14</f>
        <v>1325.885011626</v>
      </c>
      <c r="I14" s="10">
        <f>0*E14*F14</f>
        <v>0</v>
      </c>
      <c r="J14" s="10">
        <f>11567.22459633*E14*F14</f>
        <v>578.3612298165</v>
      </c>
      <c r="K14" s="10">
        <f>1815.5145154598*E14*F14</f>
        <v>90.77572577299</v>
      </c>
      <c r="L14" s="10"/>
      <c r="M14" s="35">
        <f>SUM(G14:L14)</f>
        <v>2684.36789071549</v>
      </c>
      <c r="N14" s="71">
        <f t="shared" si="0"/>
        <v>0.38568504176946694</v>
      </c>
      <c r="O14" s="71">
        <f>N14*1.18</f>
        <v>0.45510834928797095</v>
      </c>
      <c r="P14" s="189"/>
    </row>
    <row r="15" spans="2:16" ht="24">
      <c r="B15" s="7">
        <v>24</v>
      </c>
      <c r="C15" s="8" t="s">
        <v>53</v>
      </c>
      <c r="D15" s="8" t="s">
        <v>17</v>
      </c>
      <c r="E15" s="9">
        <v>0.01</v>
      </c>
      <c r="F15" s="9">
        <v>1</v>
      </c>
      <c r="G15" s="10">
        <f>12274.94775*E15*F15</f>
        <v>122.7494775</v>
      </c>
      <c r="H15" s="10">
        <f>16270.42052748*E15*F15</f>
        <v>162.70420527480002</v>
      </c>
      <c r="I15" s="10">
        <f>0*E15*F15</f>
        <v>0</v>
      </c>
      <c r="J15" s="10">
        <f>10298.68116225*E15*F15</f>
        <v>102.98681162250001</v>
      </c>
      <c r="K15" s="10">
        <f>1359.5417303906*E15*F15</f>
        <v>13.595417303906</v>
      </c>
      <c r="L15" s="10"/>
      <c r="M15" s="35">
        <f>SUM(G15:L15)</f>
        <v>402.03591170120603</v>
      </c>
      <c r="N15" s="71">
        <f t="shared" si="0"/>
        <v>0.05776378041683995</v>
      </c>
      <c r="O15" s="71">
        <f>N15*1.18</f>
        <v>0.06816126089187113</v>
      </c>
      <c r="P15" s="189"/>
    </row>
    <row r="16" spans="2:16" ht="18" customHeight="1">
      <c r="B16" s="7"/>
      <c r="C16" s="63" t="s">
        <v>344</v>
      </c>
      <c r="D16" s="62"/>
      <c r="E16" s="63"/>
      <c r="F16" s="63"/>
      <c r="G16" s="64">
        <f aca="true" t="shared" si="2" ref="G16:M16">SUM(G13:G15)</f>
        <v>1467.93933975</v>
      </c>
      <c r="H16" s="64">
        <f t="shared" si="2"/>
        <v>2478.6222595722</v>
      </c>
      <c r="I16" s="64">
        <f t="shared" si="2"/>
        <v>0</v>
      </c>
      <c r="J16" s="64">
        <f t="shared" si="2"/>
        <v>1231.6011060502499</v>
      </c>
      <c r="K16" s="64">
        <f t="shared" si="2"/>
        <v>181.235694688041</v>
      </c>
      <c r="L16" s="64">
        <f t="shared" si="2"/>
        <v>0</v>
      </c>
      <c r="M16" s="69">
        <f t="shared" si="2"/>
        <v>5359.398400060491</v>
      </c>
      <c r="N16" s="72"/>
      <c r="O16" s="72"/>
      <c r="P16" s="58"/>
    </row>
    <row r="17" spans="2:16" ht="12.75" customHeight="1">
      <c r="B17" s="7"/>
      <c r="C17" s="194" t="s">
        <v>55</v>
      </c>
      <c r="D17" s="194"/>
      <c r="E17" s="194"/>
      <c r="F17" s="194"/>
      <c r="G17" s="194"/>
      <c r="H17" s="194"/>
      <c r="I17" s="194"/>
      <c r="J17" s="194"/>
      <c r="K17" s="194"/>
      <c r="L17" s="194"/>
      <c r="M17" s="195"/>
      <c r="N17" s="71"/>
      <c r="O17" s="71"/>
      <c r="P17" s="58"/>
    </row>
    <row r="18" spans="2:16" ht="36">
      <c r="B18" s="7">
        <v>26</v>
      </c>
      <c r="C18" s="8" t="s">
        <v>56</v>
      </c>
      <c r="D18" s="8" t="s">
        <v>46</v>
      </c>
      <c r="E18" s="9">
        <v>0.05</v>
      </c>
      <c r="F18" s="9">
        <v>1</v>
      </c>
      <c r="G18" s="10">
        <f>7478.34776*E18*F18</f>
        <v>373.917388</v>
      </c>
      <c r="H18" s="10">
        <f>21244.517364*E18*F18</f>
        <v>1062.2258682</v>
      </c>
      <c r="I18" s="10">
        <f>0*E18*F18</f>
        <v>0</v>
      </c>
      <c r="J18" s="10">
        <f>6274.33377064*E18*F18</f>
        <v>313.71668853200003</v>
      </c>
      <c r="K18" s="10">
        <f>1224.9019613124*E18*F18</f>
        <v>61.245098065620006</v>
      </c>
      <c r="L18" s="10"/>
      <c r="M18" s="35">
        <f>SUM(G18:L18)</f>
        <v>1811.10504279762</v>
      </c>
      <c r="N18" s="71">
        <f t="shared" si="0"/>
        <v>0.26021624178126723</v>
      </c>
      <c r="O18" s="71">
        <f>N18*1.18</f>
        <v>0.3070551653018953</v>
      </c>
      <c r="P18" s="188">
        <f>SUM(O18:O19)</f>
        <v>0.5431896262604567</v>
      </c>
    </row>
    <row r="19" spans="2:16" ht="36">
      <c r="B19" s="7">
        <v>27</v>
      </c>
      <c r="C19" s="8" t="s">
        <v>57</v>
      </c>
      <c r="D19" s="8" t="s">
        <v>46</v>
      </c>
      <c r="E19" s="9">
        <v>0.05</v>
      </c>
      <c r="F19" s="9">
        <v>1</v>
      </c>
      <c r="G19" s="10">
        <f>7926.53641*E19*F19</f>
        <v>396.3268205</v>
      </c>
      <c r="H19" s="10">
        <f>12336.9757112*E19*F19</f>
        <v>616.8487855600001</v>
      </c>
      <c r="I19" s="10">
        <f>0*E19*F19</f>
        <v>0</v>
      </c>
      <c r="J19" s="10">
        <f>6650.36404799*E19*F19</f>
        <v>332.5182023995</v>
      </c>
      <c r="K19" s="10">
        <f>941.98566592165*E19*F19</f>
        <v>47.099283296082504</v>
      </c>
      <c r="L19" s="10"/>
      <c r="M19" s="35">
        <f>SUM(G19:L19)</f>
        <v>1392.7930917555827</v>
      </c>
      <c r="N19" s="71">
        <f t="shared" si="0"/>
        <v>0.20011394996488258</v>
      </c>
      <c r="O19" s="71">
        <f>N19*1.18</f>
        <v>0.23613446095856142</v>
      </c>
      <c r="P19" s="189"/>
    </row>
    <row r="20" spans="2:16" ht="18.75" customHeight="1">
      <c r="B20" s="7"/>
      <c r="C20" s="63" t="s">
        <v>344</v>
      </c>
      <c r="D20" s="62"/>
      <c r="E20" s="63"/>
      <c r="F20" s="63"/>
      <c r="G20" s="64">
        <f aca="true" t="shared" si="3" ref="G20:M20">SUM(G18:G19)</f>
        <v>770.2442085</v>
      </c>
      <c r="H20" s="64">
        <f t="shared" si="3"/>
        <v>1679.07465376</v>
      </c>
      <c r="I20" s="64">
        <f t="shared" si="3"/>
        <v>0</v>
      </c>
      <c r="J20" s="64">
        <f t="shared" si="3"/>
        <v>646.2348909315001</v>
      </c>
      <c r="K20" s="64">
        <f t="shared" si="3"/>
        <v>108.34438136170252</v>
      </c>
      <c r="L20" s="64">
        <f t="shared" si="3"/>
        <v>0</v>
      </c>
      <c r="M20" s="69">
        <f t="shared" si="3"/>
        <v>3203.898134553203</v>
      </c>
      <c r="N20" s="72"/>
      <c r="O20" s="72"/>
      <c r="P20" s="58"/>
    </row>
    <row r="21" spans="2:16" ht="15.75">
      <c r="B21" s="184" t="s">
        <v>58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5"/>
      <c r="N21" s="71"/>
      <c r="O21" s="71"/>
      <c r="P21" s="58"/>
    </row>
    <row r="22" spans="2:16" ht="12">
      <c r="B22" s="7">
        <v>28</v>
      </c>
      <c r="C22" s="8" t="s">
        <v>59</v>
      </c>
      <c r="D22" s="8" t="s">
        <v>60</v>
      </c>
      <c r="E22" s="9">
        <v>2</v>
      </c>
      <c r="F22" s="9">
        <v>1</v>
      </c>
      <c r="G22" s="10">
        <f>8.97312*E22*F22</f>
        <v>17.94624</v>
      </c>
      <c r="H22" s="10">
        <f>856.7643*E22*F22</f>
        <v>1713.5286</v>
      </c>
      <c r="I22" s="10">
        <f>0*E22*F22</f>
        <v>0</v>
      </c>
      <c r="J22" s="10">
        <f>7.52844768*E22*F22</f>
        <v>15.05689536</v>
      </c>
      <c r="K22" s="10">
        <f>30.5643053688*E22*F22</f>
        <v>61.1286107376</v>
      </c>
      <c r="L22" s="10"/>
      <c r="M22" s="35">
        <f>SUM(G22:L22)</f>
        <v>1807.6603460976</v>
      </c>
      <c r="N22" s="71">
        <f t="shared" si="0"/>
        <v>0.25972131409448274</v>
      </c>
      <c r="O22" s="71">
        <f>N22*1.18</f>
        <v>0.3064711506314896</v>
      </c>
      <c r="P22" s="188">
        <f>SUM(O22:O24)</f>
        <v>0.5463904157207922</v>
      </c>
    </row>
    <row r="23" spans="2:16" ht="12">
      <c r="B23" s="7">
        <v>29</v>
      </c>
      <c r="C23" s="8" t="s">
        <v>61</v>
      </c>
      <c r="D23" s="8" t="s">
        <v>62</v>
      </c>
      <c r="E23" s="9">
        <v>0.015</v>
      </c>
      <c r="F23" s="9">
        <v>1</v>
      </c>
      <c r="G23" s="10">
        <f>22432.8*E23*F23</f>
        <v>336.49199999999996</v>
      </c>
      <c r="H23" s="10">
        <f>29909.1502362*E23*F23</f>
        <v>448.637253543</v>
      </c>
      <c r="I23" s="10">
        <f>0*E23*F23</f>
        <v>0</v>
      </c>
      <c r="J23" s="10">
        <f>18821.1192*E23*F23</f>
        <v>282.31678800000003</v>
      </c>
      <c r="K23" s="10">
        <f>2490.707430267*E23*F23</f>
        <v>37.360611454004996</v>
      </c>
      <c r="L23" s="10"/>
      <c r="M23" s="35">
        <f>SUM(G23:L23)</f>
        <v>1104.8066529970051</v>
      </c>
      <c r="N23" s="71">
        <f t="shared" si="0"/>
        <v>0.15873658807428234</v>
      </c>
      <c r="O23" s="71">
        <f>N23*1.18</f>
        <v>0.18730917392765314</v>
      </c>
      <c r="P23" s="189"/>
    </row>
    <row r="24" spans="2:16" ht="12">
      <c r="B24" s="7">
        <v>30</v>
      </c>
      <c r="C24" s="8" t="s">
        <v>63</v>
      </c>
      <c r="D24" s="8" t="s">
        <v>64</v>
      </c>
      <c r="E24" s="9">
        <v>1</v>
      </c>
      <c r="F24" s="9">
        <v>1</v>
      </c>
      <c r="G24" s="10">
        <f>152.683245*E24*F24</f>
        <v>152.683245</v>
      </c>
      <c r="H24" s="10">
        <f>19.032293322*E24*F24</f>
        <v>19.032293322</v>
      </c>
      <c r="I24" s="10">
        <f>0*E24*F24</f>
        <v>0</v>
      </c>
      <c r="J24" s="10">
        <f>128.101242555*E24*F24</f>
        <v>128.101242555</v>
      </c>
      <c r="K24" s="10">
        <f>10.493587330695*E24*F24</f>
        <v>10.493587330695</v>
      </c>
      <c r="L24" s="10"/>
      <c r="M24" s="35">
        <f>SUM(G24:L24)</f>
        <v>310.310368207695</v>
      </c>
      <c r="N24" s="71">
        <f t="shared" si="0"/>
        <v>0.04458482301834698</v>
      </c>
      <c r="O24" s="71">
        <f>N24*1.18</f>
        <v>0.052610091161649435</v>
      </c>
      <c r="P24" s="189"/>
    </row>
    <row r="25" spans="2:16" ht="18.75" customHeight="1">
      <c r="B25" s="7"/>
      <c r="C25" s="63" t="s">
        <v>344</v>
      </c>
      <c r="D25" s="62"/>
      <c r="E25" s="63"/>
      <c r="F25" s="63"/>
      <c r="G25" s="64">
        <f aca="true" t="shared" si="4" ref="G25:M25">SUM(G22:G24)</f>
        <v>507.12148499999995</v>
      </c>
      <c r="H25" s="64">
        <f t="shared" si="4"/>
        <v>2181.198146865</v>
      </c>
      <c r="I25" s="64">
        <f t="shared" si="4"/>
        <v>0</v>
      </c>
      <c r="J25" s="64">
        <f t="shared" si="4"/>
        <v>425.47492591500003</v>
      </c>
      <c r="K25" s="64">
        <f t="shared" si="4"/>
        <v>108.98280952229999</v>
      </c>
      <c r="L25" s="64">
        <f t="shared" si="4"/>
        <v>0</v>
      </c>
      <c r="M25" s="69">
        <f t="shared" si="4"/>
        <v>3222.7773673023</v>
      </c>
      <c r="N25" s="72"/>
      <c r="O25" s="72"/>
      <c r="P25" s="58"/>
    </row>
    <row r="26" spans="2:16" ht="12">
      <c r="B26" s="7"/>
      <c r="C26" s="8"/>
      <c r="D26" s="8"/>
      <c r="E26" s="9"/>
      <c r="F26" s="9"/>
      <c r="G26" s="10"/>
      <c r="H26" s="10"/>
      <c r="I26" s="10"/>
      <c r="J26" s="10"/>
      <c r="K26" s="10"/>
      <c r="L26" s="10"/>
      <c r="M26" s="35"/>
      <c r="N26" s="71"/>
      <c r="O26" s="71"/>
      <c r="P26" s="58"/>
    </row>
    <row r="27" spans="2:16" ht="15.75">
      <c r="B27" s="184" t="s">
        <v>65</v>
      </c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5"/>
      <c r="N27" s="71"/>
      <c r="O27" s="71"/>
      <c r="P27" s="58"/>
    </row>
    <row r="28" spans="2:16" ht="12">
      <c r="B28" s="7">
        <v>31</v>
      </c>
      <c r="C28" s="8" t="s">
        <v>66</v>
      </c>
      <c r="D28" s="8" t="s">
        <v>67</v>
      </c>
      <c r="E28" s="9">
        <v>0.04</v>
      </c>
      <c r="F28" s="9">
        <v>1</v>
      </c>
      <c r="G28" s="10">
        <f>2450.7834*E28*F28</f>
        <v>98.031336</v>
      </c>
      <c r="H28" s="10">
        <f>14387.975047303*E28*F28</f>
        <v>575.5190018921201</v>
      </c>
      <c r="I28" s="10">
        <f aca="true" t="shared" si="5" ref="I28:I33">0*E28*F28</f>
        <v>0</v>
      </c>
      <c r="J28" s="10">
        <f>2056.2072726*E28*F28</f>
        <v>82.248290904</v>
      </c>
      <c r="K28" s="10">
        <f>661.32380019662*E28*F28</f>
        <v>26.452952007864802</v>
      </c>
      <c r="L28" s="10"/>
      <c r="M28" s="35">
        <f aca="true" t="shared" si="6" ref="M28:M33">SUM(G28:L28)</f>
        <v>782.2515808039849</v>
      </c>
      <c r="N28" s="71">
        <f t="shared" si="0"/>
        <v>0.11239246850631968</v>
      </c>
      <c r="O28" s="71">
        <f aca="true" t="shared" si="7" ref="O28:O33">N28*1.18</f>
        <v>0.1326231128374572</v>
      </c>
      <c r="P28" s="188">
        <f>SUM(O28:O33)</f>
        <v>0.8245336464102319</v>
      </c>
    </row>
    <row r="29" spans="2:16" ht="24">
      <c r="B29" s="7">
        <v>32</v>
      </c>
      <c r="C29" s="8" t="s">
        <v>68</v>
      </c>
      <c r="D29" s="8" t="s">
        <v>69</v>
      </c>
      <c r="E29" s="9">
        <v>0.58</v>
      </c>
      <c r="F29" s="9">
        <v>2</v>
      </c>
      <c r="G29" s="10">
        <f>47.97*E29*F29</f>
        <v>55.645199999999996</v>
      </c>
      <c r="H29" s="10">
        <f>0*E29*F29</f>
        <v>0</v>
      </c>
      <c r="I29" s="10">
        <f t="shared" si="5"/>
        <v>0</v>
      </c>
      <c r="J29" s="10">
        <f>40.24683*E29*F29</f>
        <v>46.6863228</v>
      </c>
      <c r="K29" s="10">
        <f>3.08758905*E29*F29</f>
        <v>3.5816032979999997</v>
      </c>
      <c r="L29" s="10"/>
      <c r="M29" s="35">
        <f t="shared" si="6"/>
        <v>105.91312609799999</v>
      </c>
      <c r="N29" s="71">
        <f t="shared" si="0"/>
        <v>0.015217403174999998</v>
      </c>
      <c r="O29" s="71">
        <f t="shared" si="7"/>
        <v>0.017956535746499996</v>
      </c>
      <c r="P29" s="189"/>
    </row>
    <row r="30" spans="2:16" ht="24">
      <c r="B30" s="7">
        <v>33</v>
      </c>
      <c r="C30" s="8" t="s">
        <v>70</v>
      </c>
      <c r="D30" s="8" t="s">
        <v>69</v>
      </c>
      <c r="E30" s="9">
        <v>0.58</v>
      </c>
      <c r="F30" s="9">
        <v>2</v>
      </c>
      <c r="G30" s="10">
        <f>382.53*E30*F30</f>
        <v>443.73479999999995</v>
      </c>
      <c r="H30" s="10">
        <f>0*E30*F30</f>
        <v>0</v>
      </c>
      <c r="I30" s="10">
        <f t="shared" si="5"/>
        <v>0</v>
      </c>
      <c r="J30" s="10">
        <f>320.94267*E30*F30</f>
        <v>372.2934972</v>
      </c>
      <c r="K30" s="10">
        <f>24.62154345*E30*F30</f>
        <v>28.560990401999998</v>
      </c>
      <c r="L30" s="10"/>
      <c r="M30" s="35">
        <f t="shared" si="6"/>
        <v>844.589287602</v>
      </c>
      <c r="N30" s="71">
        <f t="shared" si="0"/>
        <v>0.121349035575</v>
      </c>
      <c r="O30" s="71">
        <f t="shared" si="7"/>
        <v>0.14319186197849998</v>
      </c>
      <c r="P30" s="189"/>
    </row>
    <row r="31" spans="2:16" ht="12">
      <c r="B31" s="7">
        <v>34</v>
      </c>
      <c r="C31" s="8" t="s">
        <v>71</v>
      </c>
      <c r="D31" s="8" t="s">
        <v>72</v>
      </c>
      <c r="E31" s="9">
        <v>0.30000000000000004</v>
      </c>
      <c r="F31" s="9">
        <v>2</v>
      </c>
      <c r="G31" s="10">
        <f>374.836*E31*F31</f>
        <v>224.90160000000003</v>
      </c>
      <c r="H31" s="10">
        <f>0*E31*F31</f>
        <v>0</v>
      </c>
      <c r="I31" s="10">
        <f t="shared" si="5"/>
        <v>0</v>
      </c>
      <c r="J31" s="10">
        <f>314.487404*E31*F31</f>
        <v>188.69244240000003</v>
      </c>
      <c r="K31" s="10">
        <f>24.12631914*E31*F31</f>
        <v>14.475791484000002</v>
      </c>
      <c r="L31" s="10"/>
      <c r="M31" s="35">
        <f t="shared" si="6"/>
        <v>428.06983388400005</v>
      </c>
      <c r="N31" s="71">
        <f t="shared" si="0"/>
        <v>0.06150428647758621</v>
      </c>
      <c r="O31" s="71">
        <f t="shared" si="7"/>
        <v>0.07257505804355173</v>
      </c>
      <c r="P31" s="189"/>
    </row>
    <row r="32" spans="2:16" ht="24">
      <c r="B32" s="7">
        <v>35</v>
      </c>
      <c r="C32" s="8" t="s">
        <v>73</v>
      </c>
      <c r="D32" s="8" t="s">
        <v>74</v>
      </c>
      <c r="E32" s="9">
        <v>0.073</v>
      </c>
      <c r="F32" s="9">
        <v>1</v>
      </c>
      <c r="G32" s="10">
        <f>7571.07*E32*F32</f>
        <v>552.6881099999999</v>
      </c>
      <c r="H32" s="10">
        <f>0*E32*F32</f>
        <v>0</v>
      </c>
      <c r="I32" s="10">
        <f t="shared" si="5"/>
        <v>0</v>
      </c>
      <c r="J32" s="10">
        <f>6352.12773*E32*F32</f>
        <v>463.70532428999996</v>
      </c>
      <c r="K32" s="10">
        <f>487.31192055*E32*F32</f>
        <v>35.57377020015</v>
      </c>
      <c r="L32" s="10"/>
      <c r="M32" s="35">
        <f t="shared" si="6"/>
        <v>1051.96720449015</v>
      </c>
      <c r="N32" s="71">
        <f t="shared" si="0"/>
        <v>0.15114471328881465</v>
      </c>
      <c r="O32" s="71">
        <f t="shared" si="7"/>
        <v>0.17835076168080127</v>
      </c>
      <c r="P32" s="189"/>
    </row>
    <row r="33" spans="2:16" ht="36">
      <c r="B33" s="7">
        <v>36</v>
      </c>
      <c r="C33" s="8" t="s">
        <v>75</v>
      </c>
      <c r="D33" s="8" t="s">
        <v>76</v>
      </c>
      <c r="E33" s="9">
        <v>0.1</v>
      </c>
      <c r="F33" s="9">
        <v>2</v>
      </c>
      <c r="G33" s="10">
        <f>3942.5646*E33*F33</f>
        <v>788.5129200000001</v>
      </c>
      <c r="H33" s="10">
        <f>723.3433445*E33*F33</f>
        <v>144.6686689</v>
      </c>
      <c r="I33" s="10">
        <f t="shared" si="5"/>
        <v>0</v>
      </c>
      <c r="J33" s="10">
        <f>3307.8116994*E33*F33</f>
        <v>661.5623398800001</v>
      </c>
      <c r="K33" s="10">
        <f>279.0801875365*E33*F33</f>
        <v>55.816037507299995</v>
      </c>
      <c r="L33" s="10"/>
      <c r="M33" s="35">
        <f t="shared" si="6"/>
        <v>1650.5599662873003</v>
      </c>
      <c r="N33" s="71">
        <f t="shared" si="0"/>
        <v>0.23714942044357765</v>
      </c>
      <c r="O33" s="71">
        <f t="shared" si="7"/>
        <v>0.27983631612342164</v>
      </c>
      <c r="P33" s="189"/>
    </row>
    <row r="34" spans="2:16" ht="23.25" customHeight="1">
      <c r="B34" s="7"/>
      <c r="C34" s="63" t="s">
        <v>344</v>
      </c>
      <c r="D34" s="62"/>
      <c r="E34" s="63"/>
      <c r="F34" s="63"/>
      <c r="G34" s="64">
        <f aca="true" t="shared" si="8" ref="G34:M34">SUM(G28:G33)</f>
        <v>2163.513966</v>
      </c>
      <c r="H34" s="64">
        <f t="shared" si="8"/>
        <v>720.1876707921201</v>
      </c>
      <c r="I34" s="64">
        <f t="shared" si="8"/>
        <v>0</v>
      </c>
      <c r="J34" s="64">
        <f t="shared" si="8"/>
        <v>1815.188217474</v>
      </c>
      <c r="K34" s="64">
        <f t="shared" si="8"/>
        <v>164.4611448993148</v>
      </c>
      <c r="L34" s="64">
        <f t="shared" si="8"/>
        <v>0</v>
      </c>
      <c r="M34" s="69">
        <f t="shared" si="8"/>
        <v>4863.3509991654355</v>
      </c>
      <c r="N34" s="72"/>
      <c r="O34" s="72"/>
      <c r="P34" s="58"/>
    </row>
    <row r="35" spans="2:16" ht="19.5" customHeight="1">
      <c r="B35" s="7"/>
      <c r="C35" s="194" t="s">
        <v>103</v>
      </c>
      <c r="D35" s="194"/>
      <c r="E35" s="194"/>
      <c r="F35" s="194"/>
      <c r="G35" s="194"/>
      <c r="H35" s="194"/>
      <c r="I35" s="194"/>
      <c r="J35" s="194"/>
      <c r="K35" s="194"/>
      <c r="L35" s="194"/>
      <c r="M35" s="195"/>
      <c r="N35" s="71"/>
      <c r="O35" s="71"/>
      <c r="P35" s="58"/>
    </row>
    <row r="36" spans="2:16" ht="24">
      <c r="B36" s="7">
        <v>37</v>
      </c>
      <c r="C36" s="8" t="s">
        <v>104</v>
      </c>
      <c r="D36" s="8" t="s">
        <v>105</v>
      </c>
      <c r="E36" s="9">
        <v>0.58</v>
      </c>
      <c r="F36" s="9">
        <v>2</v>
      </c>
      <c r="G36" s="10">
        <f>471.0888*E36*F36</f>
        <v>546.463008</v>
      </c>
      <c r="H36" s="10">
        <f>0*E36*F36</f>
        <v>0</v>
      </c>
      <c r="I36" s="10">
        <f>0*E36*F36</f>
        <v>0</v>
      </c>
      <c r="J36" s="10">
        <f>395.2435032*E36*F36</f>
        <v>458.48246371199997</v>
      </c>
      <c r="K36" s="10">
        <f>30.321630612*E36*F36</f>
        <v>35.17309150992</v>
      </c>
      <c r="L36" s="10"/>
      <c r="M36" s="35">
        <f>SUM(G36:L36)</f>
        <v>1040.1185632219199</v>
      </c>
      <c r="N36" s="71">
        <f t="shared" si="0"/>
        <v>0.149442322302</v>
      </c>
      <c r="O36" s="71">
        <f>N36*1.18</f>
        <v>0.17634194031636</v>
      </c>
      <c r="P36" s="59">
        <f>O36</f>
        <v>0.17634194031636</v>
      </c>
    </row>
    <row r="37" spans="2:16" ht="21" customHeight="1">
      <c r="B37" s="7"/>
      <c r="C37" s="63" t="s">
        <v>344</v>
      </c>
      <c r="D37" s="62"/>
      <c r="E37" s="63"/>
      <c r="F37" s="63"/>
      <c r="G37" s="64">
        <f aca="true" t="shared" si="9" ref="G37:M37">SUM(G36)</f>
        <v>546.463008</v>
      </c>
      <c r="H37" s="64">
        <f t="shared" si="9"/>
        <v>0</v>
      </c>
      <c r="I37" s="64">
        <f t="shared" si="9"/>
        <v>0</v>
      </c>
      <c r="J37" s="64">
        <f t="shared" si="9"/>
        <v>458.48246371199997</v>
      </c>
      <c r="K37" s="64">
        <f t="shared" si="9"/>
        <v>35.17309150992</v>
      </c>
      <c r="L37" s="64">
        <f t="shared" si="9"/>
        <v>0</v>
      </c>
      <c r="M37" s="69">
        <f t="shared" si="9"/>
        <v>1040.1185632219199</v>
      </c>
      <c r="N37" s="72"/>
      <c r="O37" s="72"/>
      <c r="P37" s="58"/>
    </row>
    <row r="38" spans="2:16" ht="15.75">
      <c r="B38" s="184" t="s">
        <v>106</v>
      </c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5"/>
      <c r="N38" s="71"/>
      <c r="O38" s="71"/>
      <c r="P38" s="58"/>
    </row>
    <row r="39" spans="2:16" ht="60">
      <c r="B39" s="7">
        <v>53</v>
      </c>
      <c r="C39" s="8" t="s">
        <v>107</v>
      </c>
      <c r="D39" s="8" t="s">
        <v>108</v>
      </c>
      <c r="E39" s="111">
        <v>0.58</v>
      </c>
      <c r="F39" s="9">
        <v>3</v>
      </c>
      <c r="G39" s="10">
        <f>1113.829014*E39*F39</f>
        <v>1938.0624843599999</v>
      </c>
      <c r="H39" s="10">
        <f>0*E39*F39</f>
        <v>0</v>
      </c>
      <c r="I39" s="10">
        <f>0*E39*F39</f>
        <v>0</v>
      </c>
      <c r="J39" s="10">
        <f>934.502542746*E39*F39</f>
        <v>1626.03442437804</v>
      </c>
      <c r="K39" s="10">
        <f>71.69160448611*E39*F39</f>
        <v>124.74339180583138</v>
      </c>
      <c r="L39" s="10"/>
      <c r="M39" s="35">
        <f>SUM(G39:L39)</f>
        <v>3688.8403005438713</v>
      </c>
      <c r="N39" s="71">
        <f aca="true" t="shared" si="10" ref="N39:N64">M39/12/580</f>
        <v>0.5300057903080274</v>
      </c>
      <c r="O39" s="71">
        <f>N39*1.18</f>
        <v>0.6254068325634723</v>
      </c>
      <c r="P39" s="59">
        <f>O39</f>
        <v>0.6254068325634723</v>
      </c>
    </row>
    <row r="40" spans="2:16" ht="24.75" customHeight="1">
      <c r="B40" s="7"/>
      <c r="C40" s="63" t="s">
        <v>344</v>
      </c>
      <c r="D40" s="62"/>
      <c r="E40" s="63"/>
      <c r="F40" s="63"/>
      <c r="G40" s="64">
        <f aca="true" t="shared" si="11" ref="G40:M40">SUM(G39)</f>
        <v>1938.0624843599999</v>
      </c>
      <c r="H40" s="64">
        <f t="shared" si="11"/>
        <v>0</v>
      </c>
      <c r="I40" s="64">
        <f t="shared" si="11"/>
        <v>0</v>
      </c>
      <c r="J40" s="64">
        <f t="shared" si="11"/>
        <v>1626.03442437804</v>
      </c>
      <c r="K40" s="64">
        <f t="shared" si="11"/>
        <v>124.74339180583138</v>
      </c>
      <c r="L40" s="64">
        <f t="shared" si="11"/>
        <v>0</v>
      </c>
      <c r="M40" s="69">
        <f t="shared" si="11"/>
        <v>3688.8403005438713</v>
      </c>
      <c r="N40" s="72"/>
      <c r="O40" s="72"/>
      <c r="P40" s="58"/>
    </row>
    <row r="41" spans="2:16" ht="19.5" customHeight="1">
      <c r="B41" s="7"/>
      <c r="C41" s="194" t="s">
        <v>109</v>
      </c>
      <c r="D41" s="194"/>
      <c r="E41" s="194"/>
      <c r="F41" s="194"/>
      <c r="G41" s="194"/>
      <c r="H41" s="194"/>
      <c r="I41" s="194"/>
      <c r="J41" s="194"/>
      <c r="K41" s="194"/>
      <c r="L41" s="194"/>
      <c r="M41" s="195"/>
      <c r="N41" s="71"/>
      <c r="O41" s="71"/>
      <c r="P41" s="58"/>
    </row>
    <row r="42" spans="2:16" ht="36">
      <c r="B42" s="7">
        <v>54</v>
      </c>
      <c r="C42" s="8" t="s">
        <v>110</v>
      </c>
      <c r="D42" s="8" t="s">
        <v>111</v>
      </c>
      <c r="E42" s="9">
        <v>0.25</v>
      </c>
      <c r="F42" s="9">
        <v>52</v>
      </c>
      <c r="G42" s="10">
        <f>119.45465966351*E42*F42</f>
        <v>1552.91057562563</v>
      </c>
      <c r="H42" s="10">
        <f>3.5065817822*E42*F42</f>
        <v>45.585563168600004</v>
      </c>
      <c r="I42" s="10">
        <f>0*E42*F42</f>
        <v>0</v>
      </c>
      <c r="J42" s="10">
        <f>100.22245945768*E42*F42</f>
        <v>1302.89197294984</v>
      </c>
      <c r="K42" s="10">
        <f>7.8114295316187*E42*F42</f>
        <v>101.5485839110431</v>
      </c>
      <c r="L42" s="10"/>
      <c r="M42" s="35">
        <f>SUM(G42:L42)</f>
        <v>3002.9366956551125</v>
      </c>
      <c r="N42" s="71">
        <f t="shared" si="10"/>
        <v>0.4314564217895277</v>
      </c>
      <c r="O42" s="71">
        <f>N42*1.18</f>
        <v>0.5091185777116427</v>
      </c>
      <c r="P42" s="188">
        <f>SUM(O42:O46)</f>
        <v>1.306431176109474</v>
      </c>
    </row>
    <row r="43" spans="2:16" ht="36">
      <c r="B43" s="7">
        <v>55</v>
      </c>
      <c r="C43" s="8" t="s">
        <v>112</v>
      </c>
      <c r="D43" s="8" t="s">
        <v>111</v>
      </c>
      <c r="E43" s="9">
        <v>0.2</v>
      </c>
      <c r="F43" s="9">
        <v>12</v>
      </c>
      <c r="G43" s="10">
        <f>104.31251966351*E43*F43</f>
        <v>250.35004719242403</v>
      </c>
      <c r="H43" s="10">
        <f>3.425170315651*E43*F43</f>
        <v>8.220408757562401</v>
      </c>
      <c r="I43" s="10">
        <f>0*E43*F43</f>
        <v>0</v>
      </c>
      <c r="J43" s="10">
        <f>87.518203997683*E43*F43</f>
        <v>210.04368959443923</v>
      </c>
      <c r="K43" s="10">
        <f>6.8339562891895*E43*F43</f>
        <v>16.401495094054802</v>
      </c>
      <c r="L43" s="10"/>
      <c r="M43" s="35">
        <f>SUM(G43:L43)</f>
        <v>485.0156406384804</v>
      </c>
      <c r="N43" s="71">
        <f t="shared" si="10"/>
        <v>0.06968615526414948</v>
      </c>
      <c r="O43" s="71">
        <f>N43*1.18</f>
        <v>0.08222966321169638</v>
      </c>
      <c r="P43" s="189"/>
    </row>
    <row r="44" spans="2:16" ht="24">
      <c r="B44" s="7">
        <v>56</v>
      </c>
      <c r="C44" s="8" t="s">
        <v>113</v>
      </c>
      <c r="D44" s="8" t="s">
        <v>111</v>
      </c>
      <c r="E44" s="9">
        <v>0.25</v>
      </c>
      <c r="F44" s="9">
        <v>12</v>
      </c>
      <c r="G44" s="10">
        <f>153.10386033649*E44*F44</f>
        <v>459.31158100946993</v>
      </c>
      <c r="H44" s="10">
        <f>56.105556816197*E44*F44</f>
        <v>168.316670448591</v>
      </c>
      <c r="I44" s="10">
        <f>0*E44*F44</f>
        <v>0</v>
      </c>
      <c r="J44" s="10">
        <f>128.45413882232*E44*F44</f>
        <v>385.36241646696</v>
      </c>
      <c r="K44" s="10">
        <f>11.818224459125*E44*F44</f>
        <v>35.454673377375</v>
      </c>
      <c r="L44" s="10"/>
      <c r="M44" s="35">
        <f>SUM(G44:L44)</f>
        <v>1048.445341302396</v>
      </c>
      <c r="N44" s="71">
        <f t="shared" si="10"/>
        <v>0.1506386984629879</v>
      </c>
      <c r="O44" s="71">
        <f>N44*1.18</f>
        <v>0.17775366418632574</v>
      </c>
      <c r="P44" s="189"/>
    </row>
    <row r="45" spans="2:16" ht="24">
      <c r="B45" s="7">
        <v>57</v>
      </c>
      <c r="C45" s="8" t="s">
        <v>114</v>
      </c>
      <c r="D45" s="8" t="s">
        <v>111</v>
      </c>
      <c r="E45" s="9">
        <v>0.2</v>
      </c>
      <c r="F45" s="9">
        <v>12</v>
      </c>
      <c r="G45" s="10">
        <f>131.23188*E45*F45</f>
        <v>314.956512</v>
      </c>
      <c r="H45" s="10">
        <f>53.945101380373*E45*F45</f>
        <v>129.46824331289523</v>
      </c>
      <c r="I45" s="10">
        <f>0*E45*F45</f>
        <v>0</v>
      </c>
      <c r="J45" s="10">
        <f>110.10354732*E45*F45</f>
        <v>264.248513568</v>
      </c>
      <c r="K45" s="10">
        <f>10.334818504513*E45*F45</f>
        <v>24.803564410831203</v>
      </c>
      <c r="L45" s="10"/>
      <c r="M45" s="35">
        <f>SUM(G45:L45)</f>
        <v>733.4768332917264</v>
      </c>
      <c r="N45" s="71">
        <f t="shared" si="10"/>
        <v>0.10538460248444344</v>
      </c>
      <c r="O45" s="71">
        <f>N45*1.18</f>
        <v>0.12435383093164325</v>
      </c>
      <c r="P45" s="189"/>
    </row>
    <row r="46" spans="2:16" ht="36">
      <c r="B46" s="7">
        <v>58</v>
      </c>
      <c r="C46" s="8" t="s">
        <v>115</v>
      </c>
      <c r="D46" s="8" t="s">
        <v>116</v>
      </c>
      <c r="E46" s="9">
        <v>1</v>
      </c>
      <c r="F46" s="9">
        <v>1</v>
      </c>
      <c r="G46" s="10">
        <f>1277.27568*E46*F46</f>
        <v>1277.27568</v>
      </c>
      <c r="H46" s="10">
        <f>4.573249628969*E46*F46</f>
        <v>4.573249628969</v>
      </c>
      <c r="I46" s="10">
        <f>0*E46*F46</f>
        <v>0</v>
      </c>
      <c r="J46" s="10">
        <f>1071.63429552*E46*F46</f>
        <v>1071.63429552</v>
      </c>
      <c r="K46" s="10">
        <f>82.371912880214*E46*F46</f>
        <v>82.371912880214</v>
      </c>
      <c r="L46" s="10"/>
      <c r="M46" s="35">
        <f>SUM(G46:L46)</f>
        <v>2435.855138029183</v>
      </c>
      <c r="N46" s="71">
        <f t="shared" si="10"/>
        <v>0.34997918649844584</v>
      </c>
      <c r="O46" s="71">
        <f>N46*1.18</f>
        <v>0.41297544006816606</v>
      </c>
      <c r="P46" s="189"/>
    </row>
    <row r="47" spans="2:16" ht="19.5" customHeight="1">
      <c r="B47" s="7"/>
      <c r="C47" s="24" t="s">
        <v>344</v>
      </c>
      <c r="D47" s="66"/>
      <c r="E47" s="65"/>
      <c r="F47" s="65"/>
      <c r="G47" s="67">
        <f aca="true" t="shared" si="12" ref="G47:M47">SUM(G42:G46)</f>
        <v>3854.804395827524</v>
      </c>
      <c r="H47" s="67">
        <f t="shared" si="12"/>
        <v>356.16413531661766</v>
      </c>
      <c r="I47" s="67">
        <f t="shared" si="12"/>
        <v>0</v>
      </c>
      <c r="J47" s="67">
        <f t="shared" si="12"/>
        <v>3234.1808880992394</v>
      </c>
      <c r="K47" s="67">
        <f t="shared" si="12"/>
        <v>260.5802296735181</v>
      </c>
      <c r="L47" s="67">
        <f t="shared" si="12"/>
        <v>0</v>
      </c>
      <c r="M47" s="106">
        <f t="shared" si="12"/>
        <v>7705.729648916898</v>
      </c>
      <c r="N47" s="73"/>
      <c r="O47" s="73"/>
      <c r="P47" s="58"/>
    </row>
    <row r="48" spans="2:16" ht="21" customHeight="1">
      <c r="B48" s="7"/>
      <c r="C48" s="194" t="s">
        <v>117</v>
      </c>
      <c r="D48" s="194"/>
      <c r="E48" s="194"/>
      <c r="F48" s="194"/>
      <c r="G48" s="194"/>
      <c r="H48" s="194"/>
      <c r="I48" s="194"/>
      <c r="J48" s="194"/>
      <c r="K48" s="194"/>
      <c r="L48" s="194"/>
      <c r="M48" s="195"/>
      <c r="N48" s="71"/>
      <c r="O48" s="71"/>
      <c r="P48" s="58"/>
    </row>
    <row r="49" spans="2:16" ht="24">
      <c r="B49" s="7">
        <v>59</v>
      </c>
      <c r="C49" s="8" t="s">
        <v>118</v>
      </c>
      <c r="D49" s="8" t="s">
        <v>119</v>
      </c>
      <c r="E49" s="9">
        <v>0.07</v>
      </c>
      <c r="F49" s="9">
        <v>144</v>
      </c>
      <c r="G49" s="10">
        <f>79.1749*E49*F49</f>
        <v>798.082992</v>
      </c>
      <c r="H49" s="10">
        <f>3.432912*E49*F49</f>
        <v>34.60375296</v>
      </c>
      <c r="I49" s="10">
        <f aca="true" t="shared" si="13" ref="I49:I54">0*E49*F49</f>
        <v>0</v>
      </c>
      <c r="J49" s="10">
        <f>66.4277411*E49*F49</f>
        <v>669.5916302880001</v>
      </c>
      <c r="K49" s="10">
        <f>5.2162443585*E49*F49</f>
        <v>52.579743133680005</v>
      </c>
      <c r="L49" s="10"/>
      <c r="M49" s="35">
        <f aca="true" t="shared" si="14" ref="M49:M59">SUM(G49:L49)</f>
        <v>1554.85811838168</v>
      </c>
      <c r="N49" s="71">
        <f t="shared" si="10"/>
        <v>0.22339915493989657</v>
      </c>
      <c r="O49" s="71">
        <f aca="true" t="shared" si="15" ref="O49:O59">N49*1.18</f>
        <v>0.26361100282907796</v>
      </c>
      <c r="P49" s="188">
        <f>SUM(O49:O59)</f>
        <v>3.7992892069541186</v>
      </c>
    </row>
    <row r="50" spans="2:16" ht="24">
      <c r="B50" s="7">
        <v>60</v>
      </c>
      <c r="C50" s="8" t="s">
        <v>120</v>
      </c>
      <c r="D50" s="8" t="s">
        <v>119</v>
      </c>
      <c r="E50" s="9">
        <v>0.07</v>
      </c>
      <c r="F50" s="9">
        <v>144</v>
      </c>
      <c r="G50" s="10">
        <f>99.4151*E50*F50</f>
        <v>1002.1042080000001</v>
      </c>
      <c r="H50" s="10">
        <f>3.812522*E50*F50</f>
        <v>38.43022176</v>
      </c>
      <c r="I50" s="10">
        <f t="shared" si="13"/>
        <v>0</v>
      </c>
      <c r="J50" s="10">
        <f>83.4092689*E50*F50</f>
        <v>840.7654305120001</v>
      </c>
      <c r="K50" s="10">
        <f>6.5322911815*E50*F50</f>
        <v>65.84549510952</v>
      </c>
      <c r="L50" s="10"/>
      <c r="M50" s="35">
        <f t="shared" si="14"/>
        <v>1947.1453553815204</v>
      </c>
      <c r="N50" s="71">
        <f t="shared" si="10"/>
        <v>0.27976226370424145</v>
      </c>
      <c r="O50" s="71">
        <f t="shared" si="15"/>
        <v>0.3301194711710049</v>
      </c>
      <c r="P50" s="189"/>
    </row>
    <row r="51" spans="2:16" ht="24">
      <c r="B51" s="7">
        <v>61</v>
      </c>
      <c r="C51" s="8" t="s">
        <v>121</v>
      </c>
      <c r="D51" s="8" t="s">
        <v>119</v>
      </c>
      <c r="E51" s="9">
        <v>0.04</v>
      </c>
      <c r="F51" s="9">
        <v>144</v>
      </c>
      <c r="G51" s="10">
        <f>119.06*E51*F51</f>
        <v>685.7856</v>
      </c>
      <c r="H51" s="10">
        <f>4.860555*E51*F51</f>
        <v>27.9967968</v>
      </c>
      <c r="I51" s="10">
        <f t="shared" si="13"/>
        <v>0</v>
      </c>
      <c r="J51" s="10">
        <f>99.89134*E51*F51</f>
        <v>575.3741184</v>
      </c>
      <c r="K51" s="10">
        <f>7.833416325*E51*F51</f>
        <v>45.120478032</v>
      </c>
      <c r="L51" s="10"/>
      <c r="M51" s="35">
        <f t="shared" si="14"/>
        <v>1334.276993232</v>
      </c>
      <c r="N51" s="71">
        <f t="shared" si="10"/>
        <v>0.1917064645448276</v>
      </c>
      <c r="O51" s="71">
        <f t="shared" si="15"/>
        <v>0.22621362816289656</v>
      </c>
      <c r="P51" s="189"/>
    </row>
    <row r="52" spans="2:16" ht="24">
      <c r="B52" s="7">
        <v>62</v>
      </c>
      <c r="C52" s="8" t="s">
        <v>122</v>
      </c>
      <c r="D52" s="8" t="s">
        <v>119</v>
      </c>
      <c r="E52" s="9">
        <v>0.03</v>
      </c>
      <c r="F52" s="9">
        <v>144</v>
      </c>
      <c r="G52" s="10">
        <f>108.9399*E52*F52</f>
        <v>470.620368</v>
      </c>
      <c r="H52" s="10">
        <f>4.480945*E52*F52</f>
        <v>19.3576824</v>
      </c>
      <c r="I52" s="10">
        <f t="shared" si="13"/>
        <v>0</v>
      </c>
      <c r="J52" s="10">
        <f>91.4005761*E52*F52</f>
        <v>394.85048875199993</v>
      </c>
      <c r="K52" s="10">
        <f>7.1687497385*E52*F52</f>
        <v>30.968998870319997</v>
      </c>
      <c r="L52" s="10"/>
      <c r="M52" s="35">
        <f t="shared" si="14"/>
        <v>915.7975380223198</v>
      </c>
      <c r="N52" s="71">
        <f t="shared" si="10"/>
        <v>0.13158010603768963</v>
      </c>
      <c r="O52" s="71">
        <f t="shared" si="15"/>
        <v>0.15526452512447375</v>
      </c>
      <c r="P52" s="189"/>
    </row>
    <row r="53" spans="2:16" ht="24">
      <c r="B53" s="7">
        <v>63</v>
      </c>
      <c r="C53" s="8" t="s">
        <v>123</v>
      </c>
      <c r="D53" s="8" t="s">
        <v>119</v>
      </c>
      <c r="E53" s="9">
        <v>0.02</v>
      </c>
      <c r="F53" s="9">
        <v>144</v>
      </c>
      <c r="G53" s="10">
        <f>129.1801*E53*F53</f>
        <v>372.03868800000004</v>
      </c>
      <c r="H53" s="10">
        <f>5.528978*E53*F53</f>
        <v>15.923456640000001</v>
      </c>
      <c r="I53" s="10">
        <f t="shared" si="13"/>
        <v>0</v>
      </c>
      <c r="J53" s="10">
        <f>108.3821039*E53*F53</f>
        <v>312.140459232</v>
      </c>
      <c r="K53" s="10">
        <f>8.5081913665*E53*F53</f>
        <v>24.503591135520004</v>
      </c>
      <c r="L53" s="10"/>
      <c r="M53" s="35">
        <f t="shared" si="14"/>
        <v>724.60619500752</v>
      </c>
      <c r="N53" s="71">
        <f t="shared" si="10"/>
        <v>0.10411008548958621</v>
      </c>
      <c r="O53" s="71">
        <f t="shared" si="15"/>
        <v>0.12284990087771172</v>
      </c>
      <c r="P53" s="189"/>
    </row>
    <row r="54" spans="2:16" ht="12">
      <c r="B54" s="7">
        <v>64</v>
      </c>
      <c r="C54" s="8" t="s">
        <v>124</v>
      </c>
      <c r="D54" s="8" t="s">
        <v>125</v>
      </c>
      <c r="E54" s="9">
        <v>0.0023</v>
      </c>
      <c r="F54" s="9">
        <v>52</v>
      </c>
      <c r="G54" s="10">
        <f>7639.4849*E54*F54</f>
        <v>913.6823940400001</v>
      </c>
      <c r="H54" s="10">
        <f>91.1064*E54*F54</f>
        <v>10.89632544</v>
      </c>
      <c r="I54" s="10">
        <f t="shared" si="13"/>
        <v>0</v>
      </c>
      <c r="J54" s="10">
        <f>6409.5278311*E54*F54</f>
        <v>766.57952859956</v>
      </c>
      <c r="K54" s="10">
        <f>494.9041695885*E54*F54</f>
        <v>59.190538682784606</v>
      </c>
      <c r="L54" s="10"/>
      <c r="M54" s="35">
        <f t="shared" si="14"/>
        <v>1750.3487867623446</v>
      </c>
      <c r="N54" s="71">
        <f t="shared" si="10"/>
        <v>0.25148689464976215</v>
      </c>
      <c r="O54" s="71">
        <f t="shared" si="15"/>
        <v>0.29675453568671933</v>
      </c>
      <c r="P54" s="189"/>
    </row>
    <row r="55" spans="2:16" ht="12">
      <c r="B55" s="7">
        <v>65</v>
      </c>
      <c r="C55" s="8" t="s">
        <v>126</v>
      </c>
      <c r="D55" s="8" t="s">
        <v>127</v>
      </c>
      <c r="E55" s="9">
        <v>2.3</v>
      </c>
      <c r="F55" s="9">
        <v>3</v>
      </c>
      <c r="G55" s="10">
        <f>109.92072*E55*F55</f>
        <v>758.452968</v>
      </c>
      <c r="H55" s="10">
        <f>72.99124896*E55*F55</f>
        <v>503.6396178239999</v>
      </c>
      <c r="I55" s="10">
        <f>65.2428*E55*F55</f>
        <v>450.17531999999994</v>
      </c>
      <c r="J55" s="10">
        <f>92.22348408*E55*F55</f>
        <v>636.342040152</v>
      </c>
      <c r="K55" s="10">
        <f>11.9132388564*E55*F55</f>
        <v>82.20134810916</v>
      </c>
      <c r="L55" s="10"/>
      <c r="M55" s="35">
        <f t="shared" si="14"/>
        <v>2430.8112940851597</v>
      </c>
      <c r="N55" s="71">
        <f t="shared" si="10"/>
        <v>0.34925449627660343</v>
      </c>
      <c r="O55" s="71">
        <f t="shared" si="15"/>
        <v>0.412120305606392</v>
      </c>
      <c r="P55" s="189"/>
    </row>
    <row r="56" spans="2:16" ht="12">
      <c r="B56" s="7">
        <v>66</v>
      </c>
      <c r="C56" s="8" t="s">
        <v>128</v>
      </c>
      <c r="D56" s="8" t="s">
        <v>129</v>
      </c>
      <c r="E56" s="9">
        <v>0.005</v>
      </c>
      <c r="F56" s="9">
        <v>1</v>
      </c>
      <c r="G56" s="10">
        <f>16477.8263*E56*F56</f>
        <v>82.3891315</v>
      </c>
      <c r="H56" s="10">
        <f>0*E56*F56</f>
        <v>0</v>
      </c>
      <c r="I56" s="10">
        <f>176562.1368*E56*F56</f>
        <v>882.810684</v>
      </c>
      <c r="J56" s="10">
        <f>41418.8327077*E56*F56</f>
        <v>207.0941635385</v>
      </c>
      <c r="K56" s="10">
        <f>8206.0578532695*E56*F56</f>
        <v>41.0302892663475</v>
      </c>
      <c r="L56" s="10"/>
      <c r="M56" s="35">
        <f t="shared" si="14"/>
        <v>1213.3242683048477</v>
      </c>
      <c r="N56" s="71">
        <f t="shared" si="10"/>
        <v>0.1743281994690873</v>
      </c>
      <c r="O56" s="71">
        <f t="shared" si="15"/>
        <v>0.205707275373523</v>
      </c>
      <c r="P56" s="189"/>
    </row>
    <row r="57" spans="2:16" ht="36">
      <c r="B57" s="7">
        <v>67</v>
      </c>
      <c r="C57" s="8" t="s">
        <v>130</v>
      </c>
      <c r="D57" s="8" t="s">
        <v>131</v>
      </c>
      <c r="E57" s="9">
        <v>0.035</v>
      </c>
      <c r="F57" s="9">
        <v>15</v>
      </c>
      <c r="G57" s="10">
        <f>1388.8349*E57*F57</f>
        <v>729.1383225000001</v>
      </c>
      <c r="H57" s="10">
        <f>70.703731*E57*F57</f>
        <v>37.119458775000005</v>
      </c>
      <c r="I57" s="10">
        <f>0*E57*F57</f>
        <v>0</v>
      </c>
      <c r="J57" s="10">
        <f>1165.2324811*E57*F57</f>
        <v>611.7470525775001</v>
      </c>
      <c r="K57" s="10">
        <f>91.8669889235*E57*F57</f>
        <v>48.23016918483751</v>
      </c>
      <c r="L57" s="10"/>
      <c r="M57" s="35">
        <f t="shared" si="14"/>
        <v>1426.2350030373377</v>
      </c>
      <c r="N57" s="71">
        <f t="shared" si="10"/>
        <v>0.20491882227547956</v>
      </c>
      <c r="O57" s="71">
        <f t="shared" si="15"/>
        <v>0.24180421028506585</v>
      </c>
      <c r="P57" s="189"/>
    </row>
    <row r="58" spans="2:16" ht="12">
      <c r="B58" s="7">
        <v>68</v>
      </c>
      <c r="C58" s="8" t="s">
        <v>132</v>
      </c>
      <c r="D58" s="8" t="s">
        <v>133</v>
      </c>
      <c r="E58" s="9">
        <v>0.35</v>
      </c>
      <c r="F58" s="9">
        <v>15</v>
      </c>
      <c r="G58" s="10">
        <f>16.864849*E58*F58</f>
        <v>88.54045725</v>
      </c>
      <c r="H58" s="10">
        <f>680.5035825*E58*F58</f>
        <v>3572.643808125</v>
      </c>
      <c r="I58" s="10">
        <f>0*E58*F58</f>
        <v>0</v>
      </c>
      <c r="J58" s="10">
        <f>14.149608311*E58*F58</f>
        <v>74.28544363274999</v>
      </c>
      <c r="K58" s="10">
        <f>24.903131393385*E58*F58</f>
        <v>130.74143981527124</v>
      </c>
      <c r="L58" s="10"/>
      <c r="M58" s="35">
        <f t="shared" si="14"/>
        <v>3866.211148823021</v>
      </c>
      <c r="N58" s="71">
        <f t="shared" si="10"/>
        <v>0.5554901075895146</v>
      </c>
      <c r="O58" s="71">
        <f t="shared" si="15"/>
        <v>0.6554783269556271</v>
      </c>
      <c r="P58" s="189"/>
    </row>
    <row r="59" spans="2:16" ht="23.25" customHeight="1">
      <c r="B59" s="7">
        <v>69</v>
      </c>
      <c r="C59" s="8" t="s">
        <v>134</v>
      </c>
      <c r="D59" s="8" t="s">
        <v>127</v>
      </c>
      <c r="E59" s="9">
        <v>0.064</v>
      </c>
      <c r="F59" s="9">
        <v>296</v>
      </c>
      <c r="G59" s="10">
        <f>144.6579*E59*F59</f>
        <v>2740.3992576</v>
      </c>
      <c r="H59" s="10">
        <f>1.51844*E59*F59</f>
        <v>28.76532736</v>
      </c>
      <c r="I59" s="10">
        <f>0*E59*F59</f>
        <v>0</v>
      </c>
      <c r="J59" s="10">
        <f>121.3679781*E59*F59</f>
        <v>2299.1949771264003</v>
      </c>
      <c r="K59" s="10">
        <f>9.3640511335*E59*F59</f>
        <v>177.39258467302403</v>
      </c>
      <c r="L59" s="10"/>
      <c r="M59" s="35">
        <f t="shared" si="14"/>
        <v>5245.752146759424</v>
      </c>
      <c r="N59" s="71">
        <f t="shared" si="10"/>
        <v>0.7537000210861242</v>
      </c>
      <c r="O59" s="71">
        <f t="shared" si="15"/>
        <v>0.8893660248816265</v>
      </c>
      <c r="P59" s="189"/>
    </row>
    <row r="60" spans="2:16" ht="18.75" customHeight="1">
      <c r="B60" s="7"/>
      <c r="C60" s="63" t="s">
        <v>344</v>
      </c>
      <c r="D60" s="62"/>
      <c r="E60" s="63"/>
      <c r="F60" s="63"/>
      <c r="G60" s="64">
        <f aca="true" t="shared" si="16" ref="G60:M60">SUM(G49:G59)</f>
        <v>8641.23438689</v>
      </c>
      <c r="H60" s="64">
        <f t="shared" si="16"/>
        <v>4289.376448084</v>
      </c>
      <c r="I60" s="64">
        <f t="shared" si="16"/>
        <v>1332.9860039999999</v>
      </c>
      <c r="J60" s="64">
        <f t="shared" si="16"/>
        <v>7387.965332810709</v>
      </c>
      <c r="K60" s="64">
        <f t="shared" si="16"/>
        <v>757.8046760124648</v>
      </c>
      <c r="L60" s="64">
        <f t="shared" si="16"/>
        <v>0</v>
      </c>
      <c r="M60" s="69">
        <f t="shared" si="16"/>
        <v>22409.366847797177</v>
      </c>
      <c r="N60" s="72"/>
      <c r="O60" s="72"/>
      <c r="P60" s="58"/>
    </row>
    <row r="61" spans="2:16" ht="15">
      <c r="B61" s="7"/>
      <c r="C61" s="101" t="s">
        <v>343</v>
      </c>
      <c r="D61" s="8"/>
      <c r="E61" s="9"/>
      <c r="F61" s="9"/>
      <c r="G61" s="10"/>
      <c r="H61" s="10"/>
      <c r="I61" s="10"/>
      <c r="J61" s="10"/>
      <c r="K61" s="10"/>
      <c r="L61" s="10"/>
      <c r="M61" s="35"/>
      <c r="N61" s="71"/>
      <c r="O61" s="71"/>
      <c r="P61" s="58"/>
    </row>
    <row r="62" spans="2:16" ht="18.75" customHeight="1">
      <c r="B62" s="7"/>
      <c r="C62" s="8" t="s">
        <v>135</v>
      </c>
      <c r="D62" s="8"/>
      <c r="E62" s="9"/>
      <c r="F62" s="9"/>
      <c r="G62" s="10"/>
      <c r="H62" s="10"/>
      <c r="I62" s="10"/>
      <c r="J62" s="10"/>
      <c r="K62" s="10"/>
      <c r="L62" s="10"/>
      <c r="M62" s="35">
        <f>1.36*580*12/1.18</f>
        <v>8021.694915254238</v>
      </c>
      <c r="N62" s="71">
        <f t="shared" si="10"/>
        <v>1.152542372881356</v>
      </c>
      <c r="O62" s="71">
        <f>N62*1.18</f>
        <v>1.3599999999999999</v>
      </c>
      <c r="P62" s="59">
        <f>O62</f>
        <v>1.3599999999999999</v>
      </c>
    </row>
    <row r="63" spans="2:16" ht="18.75" customHeight="1">
      <c r="B63" s="7"/>
      <c r="C63" s="8" t="s">
        <v>137</v>
      </c>
      <c r="D63" s="8"/>
      <c r="E63" s="9"/>
      <c r="F63" s="9"/>
      <c r="G63" s="10"/>
      <c r="H63" s="10"/>
      <c r="I63" s="10"/>
      <c r="J63" s="10"/>
      <c r="K63" s="10"/>
      <c r="L63" s="10"/>
      <c r="M63" s="35">
        <f>0.14*580*12/1.18</f>
        <v>825.7627118644069</v>
      </c>
      <c r="N63" s="71">
        <f t="shared" si="10"/>
        <v>0.11864406779661019</v>
      </c>
      <c r="O63" s="71">
        <f>N63*1.18</f>
        <v>0.14</v>
      </c>
      <c r="P63" s="59">
        <f>O63</f>
        <v>0.14</v>
      </c>
    </row>
    <row r="64" spans="2:16" ht="18.75" customHeight="1">
      <c r="B64" s="7"/>
      <c r="C64" s="8" t="s">
        <v>138</v>
      </c>
      <c r="D64" s="8"/>
      <c r="E64" s="9"/>
      <c r="F64" s="9"/>
      <c r="G64" s="10"/>
      <c r="H64" s="10"/>
      <c r="I64" s="10"/>
      <c r="J64" s="10"/>
      <c r="K64" s="10"/>
      <c r="L64" s="10"/>
      <c r="M64" s="35">
        <f>0.1*580*12/1.18</f>
        <v>589.8305084745763</v>
      </c>
      <c r="N64" s="71">
        <f t="shared" si="10"/>
        <v>0.0847457627118644</v>
      </c>
      <c r="O64" s="71">
        <f>N64*1.18</f>
        <v>0.09999999999999999</v>
      </c>
      <c r="P64" s="59">
        <f>O64</f>
        <v>0.09999999999999999</v>
      </c>
    </row>
    <row r="65" spans="2:16" ht="18.75" customHeight="1" thickBot="1">
      <c r="B65" s="29"/>
      <c r="C65" s="56" t="s">
        <v>339</v>
      </c>
      <c r="D65" s="30"/>
      <c r="E65" s="31"/>
      <c r="F65" s="31"/>
      <c r="G65" s="32"/>
      <c r="H65" s="32"/>
      <c r="I65" s="32"/>
      <c r="J65" s="32"/>
      <c r="K65" s="32"/>
      <c r="L65" s="32"/>
      <c r="M65" s="33">
        <f>N65*12*580</f>
        <v>5220</v>
      </c>
      <c r="N65" s="71">
        <v>0.75</v>
      </c>
      <c r="O65" s="71">
        <f>N65*1.18</f>
        <v>0.885</v>
      </c>
      <c r="P65" s="60">
        <f>O65</f>
        <v>0.885</v>
      </c>
    </row>
    <row r="66" spans="2:16" ht="26.25" customHeight="1" thickBot="1">
      <c r="B66" s="42"/>
      <c r="C66" s="165" t="s">
        <v>139</v>
      </c>
      <c r="D66" s="166"/>
      <c r="E66" s="166"/>
      <c r="F66" s="167"/>
      <c r="G66" s="168">
        <f aca="true" t="shared" si="17" ref="G66:L66">G60+G47+G40+G37+G34+G25+G20+G16+G11</f>
        <v>22339.603517577525</v>
      </c>
      <c r="H66" s="168">
        <f t="shared" si="17"/>
        <v>15180.689814886637</v>
      </c>
      <c r="I66" s="168">
        <f t="shared" si="17"/>
        <v>1357.2000792</v>
      </c>
      <c r="J66" s="168">
        <f t="shared" si="17"/>
        <v>18888.80048191989</v>
      </c>
      <c r="K66" s="168">
        <f t="shared" si="17"/>
        <v>2021.820286275442</v>
      </c>
      <c r="L66" s="168">
        <f t="shared" si="17"/>
        <v>0</v>
      </c>
      <c r="M66" s="169">
        <f>M60+M47+M40+M37+M34+M25+M20+M16+M11+M62+M63+M64+M65</f>
        <v>74445.40231545271</v>
      </c>
      <c r="N66" s="170">
        <f>SUM(N6:N65)</f>
        <v>10.69617849359953</v>
      </c>
      <c r="O66" s="170">
        <f>SUM(O6:O65)</f>
        <v>12.621490622447443</v>
      </c>
      <c r="P66" s="171">
        <f>SUM(P6:P65)</f>
        <v>12.621490622447443</v>
      </c>
    </row>
    <row r="67" spans="12:13" ht="12">
      <c r="L67" s="1">
        <f>L66/12/580</f>
        <v>0</v>
      </c>
      <c r="M67" s="110">
        <f>M66/12/580</f>
        <v>10.696178493599527</v>
      </c>
    </row>
    <row r="70" spans="4:11" ht="19.5">
      <c r="D70" s="192" t="s">
        <v>140</v>
      </c>
      <c r="E70" s="192"/>
      <c r="F70" s="192"/>
      <c r="G70" s="192"/>
      <c r="H70" s="192"/>
      <c r="I70" s="192"/>
      <c r="J70" s="192"/>
      <c r="K70" s="192"/>
    </row>
    <row r="71" spans="4:11" ht="15.75">
      <c r="D71" s="13" t="s">
        <v>141</v>
      </c>
      <c r="E71" s="186">
        <f>G66</f>
        <v>22339.603517577525</v>
      </c>
      <c r="F71" s="186"/>
      <c r="G71" s="14"/>
      <c r="H71" s="14"/>
      <c r="I71" s="13" t="s">
        <v>142</v>
      </c>
      <c r="J71" s="186">
        <f>J66</f>
        <v>18888.80048191989</v>
      </c>
      <c r="K71" s="186"/>
    </row>
    <row r="72" spans="4:11" ht="15.75">
      <c r="D72" s="13" t="s">
        <v>143</v>
      </c>
      <c r="E72" s="186">
        <f>H66</f>
        <v>15180.689814886637</v>
      </c>
      <c r="F72" s="186"/>
      <c r="G72" s="14"/>
      <c r="H72" s="14"/>
      <c r="I72" s="13" t="s">
        <v>144</v>
      </c>
      <c r="J72" s="186">
        <f>K66</f>
        <v>2021.820286275442</v>
      </c>
      <c r="K72" s="186"/>
    </row>
    <row r="73" spans="4:11" ht="15.75">
      <c r="D73" s="13" t="s">
        <v>145</v>
      </c>
      <c r="E73" s="186">
        <f>I66</f>
        <v>1357.2000792</v>
      </c>
      <c r="F73" s="186"/>
      <c r="G73" s="14"/>
      <c r="H73" s="14"/>
      <c r="I73" s="13" t="s">
        <v>146</v>
      </c>
      <c r="J73" s="186">
        <f>L66</f>
        <v>0</v>
      </c>
      <c r="K73" s="186"/>
    </row>
    <row r="74" spans="4:11" ht="15.75">
      <c r="D74" s="13"/>
      <c r="E74" s="14"/>
      <c r="F74" s="14"/>
      <c r="G74" s="14"/>
      <c r="H74" s="14"/>
      <c r="I74" s="13" t="s">
        <v>147</v>
      </c>
      <c r="J74" s="186">
        <f>M66</f>
        <v>74445.40231545271</v>
      </c>
      <c r="K74" s="186"/>
    </row>
  </sheetData>
  <sheetProtection selectLockedCells="1" selectUnlockedCells="1"/>
  <mergeCells count="26">
    <mergeCell ref="C48:M48"/>
    <mergeCell ref="B1:M1"/>
    <mergeCell ref="B4:M4"/>
    <mergeCell ref="B5:M5"/>
    <mergeCell ref="B12:M12"/>
    <mergeCell ref="C17:M17"/>
    <mergeCell ref="B21:M21"/>
    <mergeCell ref="B27:M27"/>
    <mergeCell ref="C35:M35"/>
    <mergeCell ref="B38:M38"/>
    <mergeCell ref="C41:M41"/>
    <mergeCell ref="J71:K71"/>
    <mergeCell ref="E72:F72"/>
    <mergeCell ref="J72:K72"/>
    <mergeCell ref="E73:F73"/>
    <mergeCell ref="J73:K73"/>
    <mergeCell ref="J74:K74"/>
    <mergeCell ref="P6:P10"/>
    <mergeCell ref="P13:P15"/>
    <mergeCell ref="P18:P19"/>
    <mergeCell ref="P22:P24"/>
    <mergeCell ref="P28:P33"/>
    <mergeCell ref="P42:P46"/>
    <mergeCell ref="P49:P59"/>
    <mergeCell ref="D70:K70"/>
    <mergeCell ref="E71:F71"/>
  </mergeCells>
  <printOptions/>
  <pageMargins left="0.35" right="0.35" top="0.35" bottom="0.35" header="0.5118055555555555" footer="0.3"/>
  <pageSetup fitToHeight="0" fitToWidth="1" horizontalDpi="300" verticalDpi="300" orientation="landscape" paperSize="9" scale="68" r:id="rId1"/>
  <headerFooter alignWithMargins="0">
    <oddFooter>&amp;C- &amp;P -</oddFooter>
  </headerFooter>
  <rowBreaks count="1" manualBreakCount="1">
    <brk id="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6"/>
  <sheetViews>
    <sheetView zoomScale="89" zoomScaleNormal="89" zoomScalePageLayoutView="0" workbookViewId="0" topLeftCell="B151">
      <selection activeCell="F179" sqref="F179"/>
    </sheetView>
  </sheetViews>
  <sheetFormatPr defaultColWidth="9.140625" defaultRowHeight="12"/>
  <cols>
    <col min="1" max="1" width="0" style="1" hidden="1" customWidth="1"/>
    <col min="2" max="2" width="7.00390625" style="1" customWidth="1"/>
    <col min="3" max="3" width="60.00390625" style="1" customWidth="1"/>
    <col min="4" max="4" width="13.00390625" style="1" customWidth="1"/>
    <col min="5" max="5" width="11.00390625" style="1" customWidth="1"/>
    <col min="6" max="6" width="13.00390625" style="1" customWidth="1"/>
    <col min="7" max="7" width="15.00390625" style="1" customWidth="1"/>
  </cols>
  <sheetData>
    <row r="1" spans="2:7" ht="27.75" customHeight="1">
      <c r="B1" s="193" t="s">
        <v>148</v>
      </c>
      <c r="C1" s="193"/>
      <c r="D1" s="193"/>
      <c r="E1" s="193"/>
      <c r="F1" s="193"/>
      <c r="G1" s="193"/>
    </row>
    <row r="3" spans="1:7" ht="27">
      <c r="A3" s="2"/>
      <c r="B3" s="4" t="s">
        <v>1</v>
      </c>
      <c r="C3" s="4" t="s">
        <v>149</v>
      </c>
      <c r="D3" s="5" t="s">
        <v>150</v>
      </c>
      <c r="E3" s="5" t="s">
        <v>4</v>
      </c>
      <c r="F3" s="5" t="s">
        <v>151</v>
      </c>
      <c r="G3" s="6" t="s">
        <v>12</v>
      </c>
    </row>
    <row r="4" spans="2:7" ht="12.75" customHeight="1">
      <c r="B4" s="183" t="s">
        <v>152</v>
      </c>
      <c r="C4" s="183"/>
      <c r="D4" s="183"/>
      <c r="E4" s="183"/>
      <c r="F4" s="183"/>
      <c r="G4" s="183"/>
    </row>
    <row r="5" spans="2:7" ht="12">
      <c r="B5" s="15">
        <v>1</v>
      </c>
      <c r="C5" s="16" t="s">
        <v>153</v>
      </c>
      <c r="D5" s="16" t="s">
        <v>154</v>
      </c>
      <c r="E5" s="17">
        <v>0.776</v>
      </c>
      <c r="F5" s="18">
        <v>93.47</v>
      </c>
      <c r="G5" s="19">
        <f aca="true" t="shared" si="0" ref="G5:G46">E5*F5</f>
        <v>72.53272</v>
      </c>
    </row>
    <row r="6" spans="2:7" ht="12">
      <c r="B6" s="7">
        <v>2</v>
      </c>
      <c r="C6" s="8" t="s">
        <v>155</v>
      </c>
      <c r="D6" s="8" t="s">
        <v>154</v>
      </c>
      <c r="E6" s="20">
        <v>1.552</v>
      </c>
      <c r="F6" s="10">
        <v>100.94760000000002</v>
      </c>
      <c r="G6" s="11">
        <f t="shared" si="0"/>
        <v>156.67067520000003</v>
      </c>
    </row>
    <row r="7" spans="2:7" ht="12">
      <c r="B7" s="7">
        <v>3</v>
      </c>
      <c r="C7" s="8" t="s">
        <v>156</v>
      </c>
      <c r="D7" s="8" t="s">
        <v>154</v>
      </c>
      <c r="E7" s="20">
        <v>2.328</v>
      </c>
      <c r="F7" s="10">
        <v>112.164</v>
      </c>
      <c r="G7" s="11">
        <f t="shared" si="0"/>
        <v>261.117792</v>
      </c>
    </row>
    <row r="8" spans="2:7" ht="12">
      <c r="B8" s="7">
        <v>4</v>
      </c>
      <c r="C8" s="8" t="s">
        <v>157</v>
      </c>
      <c r="D8" s="8" t="s">
        <v>154</v>
      </c>
      <c r="E8" s="20">
        <v>0.776</v>
      </c>
      <c r="F8" s="10">
        <v>126.18450000000001</v>
      </c>
      <c r="G8" s="11">
        <f t="shared" si="0"/>
        <v>97.91917200000002</v>
      </c>
    </row>
    <row r="9" spans="2:7" ht="12">
      <c r="B9" s="7">
        <v>5</v>
      </c>
      <c r="C9" s="8" t="s">
        <v>158</v>
      </c>
      <c r="D9" s="8" t="s">
        <v>154</v>
      </c>
      <c r="E9" s="20">
        <v>749.8432</v>
      </c>
      <c r="F9" s="21">
        <v>59.53</v>
      </c>
      <c r="G9" s="11">
        <f t="shared" si="0"/>
        <v>44638.165696000004</v>
      </c>
    </row>
    <row r="10" spans="2:7" ht="12">
      <c r="B10" s="7">
        <v>6</v>
      </c>
      <c r="C10" s="8" t="s">
        <v>159</v>
      </c>
      <c r="D10" s="8" t="s">
        <v>154</v>
      </c>
      <c r="E10" s="20">
        <v>35.1</v>
      </c>
      <c r="F10" s="10">
        <v>112.164</v>
      </c>
      <c r="G10" s="11">
        <f t="shared" si="0"/>
        <v>3936.9564</v>
      </c>
    </row>
    <row r="11" spans="2:7" ht="12">
      <c r="B11" s="7">
        <v>7</v>
      </c>
      <c r="C11" s="8" t="s">
        <v>160</v>
      </c>
      <c r="D11" s="8" t="s">
        <v>154</v>
      </c>
      <c r="E11" s="20">
        <v>10.32</v>
      </c>
      <c r="F11" s="10">
        <v>100.94760000000002</v>
      </c>
      <c r="G11" s="11">
        <f t="shared" si="0"/>
        <v>1041.7792320000003</v>
      </c>
    </row>
    <row r="12" spans="2:7" ht="12">
      <c r="B12" s="7">
        <v>8</v>
      </c>
      <c r="C12" s="8" t="s">
        <v>161</v>
      </c>
      <c r="D12" s="8" t="s">
        <v>154</v>
      </c>
      <c r="E12" s="20">
        <v>10.32</v>
      </c>
      <c r="F12" s="10">
        <v>112.164</v>
      </c>
      <c r="G12" s="11">
        <f t="shared" si="0"/>
        <v>1157.53248</v>
      </c>
    </row>
    <row r="13" spans="2:7" ht="12">
      <c r="B13" s="7">
        <v>9</v>
      </c>
      <c r="C13" s="8" t="s">
        <v>162</v>
      </c>
      <c r="D13" s="8" t="s">
        <v>154</v>
      </c>
      <c r="E13" s="20">
        <v>30.093</v>
      </c>
      <c r="F13" s="21">
        <v>123</v>
      </c>
      <c r="G13" s="11">
        <f t="shared" si="0"/>
        <v>3701.439</v>
      </c>
    </row>
    <row r="14" spans="2:7" ht="12">
      <c r="B14" s="7">
        <v>10</v>
      </c>
      <c r="C14" s="8" t="s">
        <v>163</v>
      </c>
      <c r="D14" s="8" t="s">
        <v>154</v>
      </c>
      <c r="E14" s="20">
        <v>7.9325</v>
      </c>
      <c r="F14" s="10">
        <v>126.18450000000001</v>
      </c>
      <c r="G14" s="11">
        <f t="shared" si="0"/>
        <v>1000.9585462500002</v>
      </c>
    </row>
    <row r="15" spans="2:7" ht="12">
      <c r="B15" s="7">
        <v>11</v>
      </c>
      <c r="C15" s="8" t="s">
        <v>164</v>
      </c>
      <c r="D15" s="8" t="s">
        <v>154</v>
      </c>
      <c r="E15" s="20">
        <v>71.325</v>
      </c>
      <c r="F15" s="10">
        <v>143.9438</v>
      </c>
      <c r="G15" s="11">
        <f t="shared" si="0"/>
        <v>10266.791535</v>
      </c>
    </row>
    <row r="16" spans="2:7" ht="12">
      <c r="B16" s="7">
        <v>12</v>
      </c>
      <c r="C16" s="8" t="s">
        <v>165</v>
      </c>
      <c r="D16" s="8" t="s">
        <v>154</v>
      </c>
      <c r="E16" s="20">
        <v>0.6</v>
      </c>
      <c r="F16" s="10">
        <v>112.164</v>
      </c>
      <c r="G16" s="11">
        <f t="shared" si="0"/>
        <v>67.2984</v>
      </c>
    </row>
    <row r="17" spans="2:7" ht="24">
      <c r="B17" s="7">
        <v>13</v>
      </c>
      <c r="C17" s="8" t="s">
        <v>166</v>
      </c>
      <c r="D17" s="8" t="s">
        <v>154</v>
      </c>
      <c r="E17" s="20">
        <v>23.4</v>
      </c>
      <c r="F17" s="10">
        <v>100.94760000000002</v>
      </c>
      <c r="G17" s="11">
        <f t="shared" si="0"/>
        <v>2362.1738400000004</v>
      </c>
    </row>
    <row r="18" spans="2:7" ht="24">
      <c r="B18" s="7">
        <v>14</v>
      </c>
      <c r="C18" s="8" t="s">
        <v>167</v>
      </c>
      <c r="D18" s="8" t="s">
        <v>154</v>
      </c>
      <c r="E18" s="20">
        <v>23.4</v>
      </c>
      <c r="F18" s="10">
        <v>112.164</v>
      </c>
      <c r="G18" s="11">
        <f t="shared" si="0"/>
        <v>2624.6376</v>
      </c>
    </row>
    <row r="19" spans="2:7" ht="24">
      <c r="B19" s="7">
        <v>15</v>
      </c>
      <c r="C19" s="8" t="s">
        <v>168</v>
      </c>
      <c r="D19" s="8" t="s">
        <v>154</v>
      </c>
      <c r="E19" s="20">
        <v>3.92</v>
      </c>
      <c r="F19" s="21">
        <v>133.87</v>
      </c>
      <c r="G19" s="11">
        <f t="shared" si="0"/>
        <v>524.7704</v>
      </c>
    </row>
    <row r="20" spans="2:7" ht="12">
      <c r="B20" s="7">
        <v>16</v>
      </c>
      <c r="C20" s="8" t="s">
        <v>169</v>
      </c>
      <c r="D20" s="8" t="s">
        <v>154</v>
      </c>
      <c r="E20" s="20">
        <v>10.075</v>
      </c>
      <c r="F20" s="10">
        <v>100.94760000000002</v>
      </c>
      <c r="G20" s="11">
        <f t="shared" si="0"/>
        <v>1017.0470700000002</v>
      </c>
    </row>
    <row r="21" spans="2:7" ht="12">
      <c r="B21" s="7">
        <v>17</v>
      </c>
      <c r="C21" s="8" t="s">
        <v>170</v>
      </c>
      <c r="D21" s="8" t="s">
        <v>154</v>
      </c>
      <c r="E21" s="20">
        <v>10.075</v>
      </c>
      <c r="F21" s="10">
        <v>112.164</v>
      </c>
      <c r="G21" s="11">
        <f t="shared" si="0"/>
        <v>1130.0522999999998</v>
      </c>
    </row>
    <row r="22" spans="2:7" ht="12">
      <c r="B22" s="7">
        <v>18</v>
      </c>
      <c r="C22" s="8" t="s">
        <v>171</v>
      </c>
      <c r="D22" s="8" t="s">
        <v>154</v>
      </c>
      <c r="E22" s="20">
        <v>4.06</v>
      </c>
      <c r="F22" s="10">
        <v>126.18450000000001</v>
      </c>
      <c r="G22" s="11">
        <f t="shared" si="0"/>
        <v>512.30907</v>
      </c>
    </row>
    <row r="23" spans="2:7" ht="12">
      <c r="B23" s="7">
        <v>19</v>
      </c>
      <c r="C23" s="8" t="s">
        <v>172</v>
      </c>
      <c r="D23" s="8" t="s">
        <v>154</v>
      </c>
      <c r="E23" s="20">
        <v>6</v>
      </c>
      <c r="F23" s="10">
        <v>143.9438</v>
      </c>
      <c r="G23" s="11">
        <f t="shared" si="0"/>
        <v>863.6628000000001</v>
      </c>
    </row>
    <row r="24" spans="2:7" ht="24">
      <c r="B24" s="7">
        <v>20</v>
      </c>
      <c r="C24" s="8" t="s">
        <v>173</v>
      </c>
      <c r="D24" s="8" t="s">
        <v>154</v>
      </c>
      <c r="E24" s="20">
        <v>6</v>
      </c>
      <c r="F24" s="10">
        <v>126.18450000000001</v>
      </c>
      <c r="G24" s="11">
        <f t="shared" si="0"/>
        <v>757.1070000000001</v>
      </c>
    </row>
    <row r="25" spans="2:7" ht="24">
      <c r="B25" s="7">
        <v>21</v>
      </c>
      <c r="C25" s="8" t="s">
        <v>174</v>
      </c>
      <c r="D25" s="8" t="s">
        <v>154</v>
      </c>
      <c r="E25" s="20">
        <v>1.05</v>
      </c>
      <c r="F25" s="10">
        <v>143.9438</v>
      </c>
      <c r="G25" s="11">
        <f t="shared" si="0"/>
        <v>151.14099000000002</v>
      </c>
    </row>
    <row r="26" spans="2:7" ht="12">
      <c r="B26" s="7">
        <v>22</v>
      </c>
      <c r="C26" s="8" t="s">
        <v>175</v>
      </c>
      <c r="D26" s="8" t="s">
        <v>154</v>
      </c>
      <c r="E26" s="20">
        <v>0.776</v>
      </c>
      <c r="F26" s="10">
        <v>93.47</v>
      </c>
      <c r="G26" s="11">
        <f t="shared" si="0"/>
        <v>72.53272</v>
      </c>
    </row>
    <row r="27" spans="2:7" ht="12">
      <c r="B27" s="7">
        <v>23</v>
      </c>
      <c r="C27" s="8" t="s">
        <v>176</v>
      </c>
      <c r="D27" s="8" t="s">
        <v>154</v>
      </c>
      <c r="E27" s="20">
        <v>66.20586</v>
      </c>
      <c r="F27" s="10">
        <v>112.164</v>
      </c>
      <c r="G27" s="11">
        <f t="shared" si="0"/>
        <v>7425.91408104</v>
      </c>
    </row>
    <row r="28" spans="2:7" ht="12">
      <c r="B28" s="7">
        <v>24</v>
      </c>
      <c r="C28" s="8" t="s">
        <v>177</v>
      </c>
      <c r="D28" s="8" t="s">
        <v>154</v>
      </c>
      <c r="E28" s="20">
        <v>0.305</v>
      </c>
      <c r="F28" s="10">
        <v>126.18450000000001</v>
      </c>
      <c r="G28" s="11">
        <f t="shared" si="0"/>
        <v>38.486272500000005</v>
      </c>
    </row>
    <row r="29" spans="2:7" ht="12">
      <c r="B29" s="7">
        <v>25</v>
      </c>
      <c r="C29" s="8" t="s">
        <v>178</v>
      </c>
      <c r="D29" s="8" t="s">
        <v>154</v>
      </c>
      <c r="E29" s="20">
        <v>0.305</v>
      </c>
      <c r="F29" s="10">
        <v>143.9438</v>
      </c>
      <c r="G29" s="11">
        <f t="shared" si="0"/>
        <v>43.902859</v>
      </c>
    </row>
    <row r="30" spans="2:7" ht="24">
      <c r="B30" s="7">
        <v>26</v>
      </c>
      <c r="C30" s="8" t="s">
        <v>179</v>
      </c>
      <c r="D30" s="8" t="s">
        <v>154</v>
      </c>
      <c r="E30" s="20">
        <v>177.68453305</v>
      </c>
      <c r="F30" s="10">
        <v>100.94760000000002</v>
      </c>
      <c r="G30" s="11">
        <f t="shared" si="0"/>
        <v>17936.827168518183</v>
      </c>
    </row>
    <row r="31" spans="2:7" ht="24">
      <c r="B31" s="7">
        <v>27</v>
      </c>
      <c r="C31" s="8" t="s">
        <v>180</v>
      </c>
      <c r="D31" s="8" t="s">
        <v>154</v>
      </c>
      <c r="E31" s="20">
        <v>0.6445</v>
      </c>
      <c r="F31" s="10">
        <v>112.164</v>
      </c>
      <c r="G31" s="11">
        <f t="shared" si="0"/>
        <v>72.289698</v>
      </c>
    </row>
    <row r="32" spans="2:7" ht="24">
      <c r="B32" s="7">
        <v>28</v>
      </c>
      <c r="C32" s="8" t="s">
        <v>181</v>
      </c>
      <c r="D32" s="8" t="s">
        <v>154</v>
      </c>
      <c r="E32" s="20">
        <v>56.23092</v>
      </c>
      <c r="F32" s="21">
        <v>0.01</v>
      </c>
      <c r="G32" s="11">
        <f t="shared" si="0"/>
        <v>0.5623092</v>
      </c>
    </row>
    <row r="33" spans="2:7" ht="12">
      <c r="B33" s="7">
        <v>29</v>
      </c>
      <c r="C33" s="8" t="s">
        <v>182</v>
      </c>
      <c r="D33" s="8" t="s">
        <v>154</v>
      </c>
      <c r="E33" s="20">
        <v>40.1116</v>
      </c>
      <c r="F33" s="10">
        <v>112.164</v>
      </c>
      <c r="G33" s="11">
        <f t="shared" si="0"/>
        <v>4499.0775024</v>
      </c>
    </row>
    <row r="34" spans="2:7" ht="12">
      <c r="B34" s="7">
        <v>30</v>
      </c>
      <c r="C34" s="8" t="s">
        <v>183</v>
      </c>
      <c r="D34" s="8" t="s">
        <v>154</v>
      </c>
      <c r="E34" s="20">
        <v>68.792</v>
      </c>
      <c r="F34" s="10">
        <v>100.94760000000002</v>
      </c>
      <c r="G34" s="11">
        <f t="shared" si="0"/>
        <v>6944.3872992000015</v>
      </c>
    </row>
    <row r="35" spans="2:7" ht="12">
      <c r="B35" s="7">
        <v>31</v>
      </c>
      <c r="C35" s="8" t="s">
        <v>184</v>
      </c>
      <c r="D35" s="8" t="s">
        <v>154</v>
      </c>
      <c r="E35" s="20">
        <v>100.00666659</v>
      </c>
      <c r="F35" s="10">
        <v>112.164</v>
      </c>
      <c r="G35" s="11">
        <f t="shared" si="0"/>
        <v>11217.14775140076</v>
      </c>
    </row>
    <row r="36" spans="2:7" ht="12">
      <c r="B36" s="7">
        <v>32</v>
      </c>
      <c r="C36" s="8" t="s">
        <v>185</v>
      </c>
      <c r="D36" s="8" t="s">
        <v>154</v>
      </c>
      <c r="E36" s="20">
        <v>250.22004</v>
      </c>
      <c r="F36" s="10">
        <v>126.18450000000001</v>
      </c>
      <c r="G36" s="11">
        <f t="shared" si="0"/>
        <v>31573.890637380006</v>
      </c>
    </row>
    <row r="37" spans="2:7" ht="12">
      <c r="B37" s="7">
        <v>33</v>
      </c>
      <c r="C37" s="8" t="s">
        <v>186</v>
      </c>
      <c r="D37" s="8" t="s">
        <v>154</v>
      </c>
      <c r="E37" s="20">
        <v>32.31166658</v>
      </c>
      <c r="F37" s="10">
        <v>143.9438</v>
      </c>
      <c r="G37" s="11">
        <f t="shared" si="0"/>
        <v>4651.064071858204</v>
      </c>
    </row>
    <row r="38" spans="2:7" ht="12">
      <c r="B38" s="7">
        <v>34</v>
      </c>
      <c r="C38" s="8" t="s">
        <v>187</v>
      </c>
      <c r="D38" s="8" t="s">
        <v>154</v>
      </c>
      <c r="E38" s="20">
        <v>26.29666659</v>
      </c>
      <c r="F38" s="10">
        <v>168.246</v>
      </c>
      <c r="G38" s="11">
        <f t="shared" si="0"/>
        <v>4424.30896710114</v>
      </c>
    </row>
    <row r="39" spans="2:7" ht="12">
      <c r="B39" s="7">
        <v>35</v>
      </c>
      <c r="C39" s="8" t="s">
        <v>188</v>
      </c>
      <c r="D39" s="8" t="s">
        <v>154</v>
      </c>
      <c r="E39" s="20">
        <v>0.46</v>
      </c>
      <c r="F39" s="10">
        <v>100.94760000000002</v>
      </c>
      <c r="G39" s="11">
        <f t="shared" si="0"/>
        <v>46.435896000000014</v>
      </c>
    </row>
    <row r="40" spans="2:7" ht="12">
      <c r="B40" s="7">
        <v>36</v>
      </c>
      <c r="C40" s="8" t="s">
        <v>189</v>
      </c>
      <c r="D40" s="8" t="s">
        <v>154</v>
      </c>
      <c r="E40" s="20">
        <v>0.46</v>
      </c>
      <c r="F40" s="10">
        <v>112.164</v>
      </c>
      <c r="G40" s="11">
        <f t="shared" si="0"/>
        <v>51.59544</v>
      </c>
    </row>
    <row r="41" spans="2:7" ht="12">
      <c r="B41" s="7">
        <v>37</v>
      </c>
      <c r="C41" s="8" t="s">
        <v>190</v>
      </c>
      <c r="D41" s="8" t="s">
        <v>154</v>
      </c>
      <c r="E41" s="20">
        <v>56.25</v>
      </c>
      <c r="F41" s="10">
        <v>100.94760000000002</v>
      </c>
      <c r="G41" s="11">
        <f t="shared" si="0"/>
        <v>5678.302500000002</v>
      </c>
    </row>
    <row r="42" spans="2:7" ht="12">
      <c r="B42" s="7">
        <v>38</v>
      </c>
      <c r="C42" s="8" t="s">
        <v>191</v>
      </c>
      <c r="D42" s="8" t="s">
        <v>154</v>
      </c>
      <c r="E42" s="20">
        <v>56.25</v>
      </c>
      <c r="F42" s="10">
        <v>126.18450000000001</v>
      </c>
      <c r="G42" s="11">
        <f t="shared" si="0"/>
        <v>7097.878125000001</v>
      </c>
    </row>
    <row r="43" spans="2:7" ht="12">
      <c r="B43" s="7">
        <v>39</v>
      </c>
      <c r="C43" s="8" t="s">
        <v>192</v>
      </c>
      <c r="D43" s="8" t="s">
        <v>154</v>
      </c>
      <c r="E43" s="20">
        <v>6.87</v>
      </c>
      <c r="F43" s="10">
        <v>126.18450000000001</v>
      </c>
      <c r="G43" s="11">
        <f t="shared" si="0"/>
        <v>866.8875150000001</v>
      </c>
    </row>
    <row r="44" spans="2:7" ht="24">
      <c r="B44" s="7">
        <v>40</v>
      </c>
      <c r="C44" s="8" t="s">
        <v>193</v>
      </c>
      <c r="D44" s="8" t="s">
        <v>194</v>
      </c>
      <c r="E44" s="20">
        <v>56.23092</v>
      </c>
      <c r="F44" s="10">
        <v>143.9438</v>
      </c>
      <c r="G44" s="11">
        <f t="shared" si="0"/>
        <v>8094.0923022960005</v>
      </c>
    </row>
    <row r="45" spans="2:7" ht="24">
      <c r="B45" s="7">
        <v>41</v>
      </c>
      <c r="C45" s="8" t="s">
        <v>195</v>
      </c>
      <c r="D45" s="8" t="s">
        <v>154</v>
      </c>
      <c r="E45" s="20">
        <v>18.32</v>
      </c>
      <c r="F45" s="10">
        <v>112.164</v>
      </c>
      <c r="G45" s="11">
        <f t="shared" si="0"/>
        <v>2054.84448</v>
      </c>
    </row>
    <row r="46" spans="2:7" ht="24">
      <c r="B46" s="7">
        <v>42</v>
      </c>
      <c r="C46" s="8" t="s">
        <v>196</v>
      </c>
      <c r="D46" s="8" t="s">
        <v>154</v>
      </c>
      <c r="E46" s="20">
        <v>62.69092</v>
      </c>
      <c r="F46" s="10">
        <v>126.18450000000001</v>
      </c>
      <c r="G46" s="11">
        <f t="shared" si="0"/>
        <v>7910.62239474</v>
      </c>
    </row>
    <row r="47" spans="2:7" ht="12">
      <c r="B47" s="182" t="s">
        <v>139</v>
      </c>
      <c r="C47" s="182"/>
      <c r="D47" s="182"/>
      <c r="E47" s="182"/>
      <c r="F47" s="182"/>
      <c r="G47" s="22">
        <f>SUM(G5:G46)</f>
        <v>197043.1127090843</v>
      </c>
    </row>
    <row r="48" spans="2:7" ht="12.75" customHeight="1">
      <c r="B48" s="183" t="s">
        <v>197</v>
      </c>
      <c r="C48" s="183"/>
      <c r="D48" s="183"/>
      <c r="E48" s="183"/>
      <c r="F48" s="183"/>
      <c r="G48" s="183"/>
    </row>
    <row r="49" spans="2:7" ht="24">
      <c r="B49" s="15">
        <v>43</v>
      </c>
      <c r="C49" s="16" t="s">
        <v>198</v>
      </c>
      <c r="D49" s="16" t="s">
        <v>199</v>
      </c>
      <c r="E49" s="17">
        <v>4.62</v>
      </c>
      <c r="F49" s="18">
        <v>15.7675</v>
      </c>
      <c r="G49" s="19">
        <f aca="true" t="shared" si="1" ref="G49:G80">E49*F49</f>
        <v>72.84585</v>
      </c>
    </row>
    <row r="50" spans="2:7" ht="24">
      <c r="B50" s="7">
        <v>44</v>
      </c>
      <c r="C50" s="8" t="s">
        <v>200</v>
      </c>
      <c r="D50" s="8" t="s">
        <v>199</v>
      </c>
      <c r="E50" s="20">
        <v>2.75</v>
      </c>
      <c r="F50" s="10">
        <v>24.525899999999996</v>
      </c>
      <c r="G50" s="11">
        <f t="shared" si="1"/>
        <v>67.44622499999998</v>
      </c>
    </row>
    <row r="51" spans="2:7" ht="24">
      <c r="B51" s="7">
        <v>45</v>
      </c>
      <c r="C51" s="8" t="s">
        <v>201</v>
      </c>
      <c r="D51" s="8" t="s">
        <v>199</v>
      </c>
      <c r="E51" s="20">
        <v>0</v>
      </c>
      <c r="F51" s="10">
        <v>30.464</v>
      </c>
      <c r="G51" s="11">
        <f t="shared" si="1"/>
        <v>0</v>
      </c>
    </row>
    <row r="52" spans="2:7" ht="24">
      <c r="B52" s="7">
        <v>46</v>
      </c>
      <c r="C52" s="8" t="s">
        <v>202</v>
      </c>
      <c r="D52" s="8" t="s">
        <v>199</v>
      </c>
      <c r="E52" s="20">
        <v>4.84</v>
      </c>
      <c r="F52" s="10">
        <v>41.1621</v>
      </c>
      <c r="G52" s="11">
        <f t="shared" si="1"/>
        <v>199.22456400000002</v>
      </c>
    </row>
    <row r="53" spans="2:7" ht="12">
      <c r="B53" s="7">
        <v>47</v>
      </c>
      <c r="C53" s="8" t="s">
        <v>203</v>
      </c>
      <c r="D53" s="8" t="s">
        <v>204</v>
      </c>
      <c r="E53" s="20">
        <v>2.124</v>
      </c>
      <c r="F53" s="10">
        <v>2678.7495</v>
      </c>
      <c r="G53" s="11">
        <f t="shared" si="1"/>
        <v>5689.663938</v>
      </c>
    </row>
    <row r="54" spans="2:7" ht="12">
      <c r="B54" s="7">
        <v>48</v>
      </c>
      <c r="C54" s="8" t="s">
        <v>205</v>
      </c>
      <c r="D54" s="8" t="s">
        <v>206</v>
      </c>
      <c r="E54" s="20">
        <v>0.20184</v>
      </c>
      <c r="F54" s="10">
        <v>386.0003</v>
      </c>
      <c r="G54" s="11">
        <f t="shared" si="1"/>
        <v>77.910300552</v>
      </c>
    </row>
    <row r="55" spans="2:7" ht="12">
      <c r="B55" s="7">
        <v>49</v>
      </c>
      <c r="C55" s="8" t="s">
        <v>207</v>
      </c>
      <c r="D55" s="8" t="s">
        <v>204</v>
      </c>
      <c r="E55" s="20">
        <v>5E-05</v>
      </c>
      <c r="F55" s="10">
        <v>57049.6591</v>
      </c>
      <c r="G55" s="11">
        <f t="shared" si="1"/>
        <v>2.852482955</v>
      </c>
    </row>
    <row r="56" spans="2:7" ht="12">
      <c r="B56" s="7">
        <v>50</v>
      </c>
      <c r="C56" s="8" t="s">
        <v>208</v>
      </c>
      <c r="D56" s="8" t="s">
        <v>204</v>
      </c>
      <c r="E56" s="20">
        <v>0.00252</v>
      </c>
      <c r="F56" s="10">
        <v>47629.78569999999</v>
      </c>
      <c r="G56" s="11">
        <f t="shared" si="1"/>
        <v>120.02705996399999</v>
      </c>
    </row>
    <row r="57" spans="2:7" ht="12">
      <c r="B57" s="7">
        <v>51</v>
      </c>
      <c r="C57" s="8" t="s">
        <v>209</v>
      </c>
      <c r="D57" s="8" t="s">
        <v>204</v>
      </c>
      <c r="E57" s="20">
        <v>0.0540456</v>
      </c>
      <c r="F57" s="10">
        <v>53278.061200000004</v>
      </c>
      <c r="G57" s="11">
        <f t="shared" si="1"/>
        <v>2879.44478439072</v>
      </c>
    </row>
    <row r="58" spans="2:7" ht="12">
      <c r="B58" s="7">
        <v>52</v>
      </c>
      <c r="C58" s="8" t="s">
        <v>210</v>
      </c>
      <c r="D58" s="8" t="s">
        <v>204</v>
      </c>
      <c r="E58" s="20">
        <v>0.00512</v>
      </c>
      <c r="F58" s="10">
        <v>14199.377499999999</v>
      </c>
      <c r="G58" s="11">
        <f t="shared" si="1"/>
        <v>72.7008128</v>
      </c>
    </row>
    <row r="59" spans="2:7" ht="24">
      <c r="B59" s="7">
        <v>53</v>
      </c>
      <c r="C59" s="8" t="s">
        <v>211</v>
      </c>
      <c r="D59" s="8" t="s">
        <v>204</v>
      </c>
      <c r="E59" s="20">
        <v>0.00105</v>
      </c>
      <c r="F59" s="10">
        <v>58783.7271</v>
      </c>
      <c r="G59" s="11">
        <f t="shared" si="1"/>
        <v>61.72291345499999</v>
      </c>
    </row>
    <row r="60" spans="2:7" ht="24">
      <c r="B60" s="7">
        <v>54</v>
      </c>
      <c r="C60" s="8" t="s">
        <v>212</v>
      </c>
      <c r="D60" s="8" t="s">
        <v>204</v>
      </c>
      <c r="E60" s="20">
        <v>0.00324</v>
      </c>
      <c r="F60" s="10">
        <v>64294.6409</v>
      </c>
      <c r="G60" s="11">
        <f t="shared" si="1"/>
        <v>208.31463651599998</v>
      </c>
    </row>
    <row r="61" spans="2:7" ht="12">
      <c r="B61" s="7">
        <v>55</v>
      </c>
      <c r="C61" s="8" t="s">
        <v>213</v>
      </c>
      <c r="D61" s="8" t="s">
        <v>204</v>
      </c>
      <c r="E61" s="20">
        <v>0.011105</v>
      </c>
      <c r="F61" s="10">
        <v>83700.792</v>
      </c>
      <c r="G61" s="11">
        <f t="shared" si="1"/>
        <v>929.49729516</v>
      </c>
    </row>
    <row r="62" spans="2:7" ht="24">
      <c r="B62" s="7">
        <v>56</v>
      </c>
      <c r="C62" s="8" t="s">
        <v>214</v>
      </c>
      <c r="D62" s="8" t="s">
        <v>199</v>
      </c>
      <c r="E62" s="20">
        <v>12</v>
      </c>
      <c r="F62" s="10">
        <v>81.96719999999999</v>
      </c>
      <c r="G62" s="11">
        <f t="shared" si="1"/>
        <v>983.6063999999999</v>
      </c>
    </row>
    <row r="63" spans="2:7" ht="12">
      <c r="B63" s="7">
        <v>57</v>
      </c>
      <c r="C63" s="8" t="s">
        <v>215</v>
      </c>
      <c r="D63" s="8" t="s">
        <v>199</v>
      </c>
      <c r="E63" s="20">
        <v>8</v>
      </c>
      <c r="F63" s="10">
        <v>160.54289999999997</v>
      </c>
      <c r="G63" s="11">
        <f t="shared" si="1"/>
        <v>1284.3431999999998</v>
      </c>
    </row>
    <row r="64" spans="2:7" ht="12">
      <c r="B64" s="7">
        <v>58</v>
      </c>
      <c r="C64" s="8" t="s">
        <v>216</v>
      </c>
      <c r="D64" s="8" t="s">
        <v>217</v>
      </c>
      <c r="E64" s="20">
        <v>0.581</v>
      </c>
      <c r="F64" s="10">
        <v>20.741699999999998</v>
      </c>
      <c r="G64" s="11">
        <f t="shared" si="1"/>
        <v>12.050927699999997</v>
      </c>
    </row>
    <row r="65" spans="2:7" ht="12">
      <c r="B65" s="7">
        <v>59</v>
      </c>
      <c r="C65" s="8" t="s">
        <v>218</v>
      </c>
      <c r="D65" s="8" t="s">
        <v>206</v>
      </c>
      <c r="E65" s="20">
        <v>52.633748</v>
      </c>
      <c r="F65" s="10">
        <v>28.6433</v>
      </c>
      <c r="G65" s="11">
        <f t="shared" si="1"/>
        <v>1507.6042340883998</v>
      </c>
    </row>
    <row r="66" spans="2:7" ht="12">
      <c r="B66" s="7">
        <v>60</v>
      </c>
      <c r="C66" s="8" t="s">
        <v>219</v>
      </c>
      <c r="D66" s="8" t="s">
        <v>220</v>
      </c>
      <c r="E66" s="20">
        <v>0.00366</v>
      </c>
      <c r="F66" s="10">
        <v>26752.7708</v>
      </c>
      <c r="G66" s="11">
        <f t="shared" si="1"/>
        <v>97.915141128</v>
      </c>
    </row>
    <row r="67" spans="2:7" ht="12">
      <c r="B67" s="7">
        <v>61</v>
      </c>
      <c r="C67" s="8" t="s">
        <v>221</v>
      </c>
      <c r="D67" s="8" t="s">
        <v>204</v>
      </c>
      <c r="E67" s="20">
        <v>0.00024</v>
      </c>
      <c r="F67" s="10">
        <v>37276.274</v>
      </c>
      <c r="G67" s="11">
        <f t="shared" si="1"/>
        <v>8.94630576</v>
      </c>
    </row>
    <row r="68" spans="2:7" ht="12">
      <c r="B68" s="7">
        <v>62</v>
      </c>
      <c r="C68" s="8" t="s">
        <v>222</v>
      </c>
      <c r="D68" s="8" t="s">
        <v>217</v>
      </c>
      <c r="E68" s="20">
        <v>0.209</v>
      </c>
      <c r="F68" s="10">
        <v>317.94419999999997</v>
      </c>
      <c r="G68" s="11">
        <f t="shared" si="1"/>
        <v>66.45033779999999</v>
      </c>
    </row>
    <row r="69" spans="2:7" ht="12">
      <c r="B69" s="7">
        <v>63</v>
      </c>
      <c r="C69" s="8" t="s">
        <v>223</v>
      </c>
      <c r="D69" s="8" t="s">
        <v>224</v>
      </c>
      <c r="E69" s="20">
        <v>5.31</v>
      </c>
      <c r="F69" s="10">
        <v>37.9967</v>
      </c>
      <c r="G69" s="11">
        <f t="shared" si="1"/>
        <v>201.76247699999996</v>
      </c>
    </row>
    <row r="70" spans="2:7" ht="12">
      <c r="B70" s="7">
        <v>64</v>
      </c>
      <c r="C70" s="8" t="s">
        <v>225</v>
      </c>
      <c r="D70" s="8" t="s">
        <v>204</v>
      </c>
      <c r="E70" s="20">
        <v>0.0017499</v>
      </c>
      <c r="F70" s="10">
        <v>22783.5853</v>
      </c>
      <c r="G70" s="11">
        <f t="shared" si="1"/>
        <v>39.86899591647</v>
      </c>
    </row>
    <row r="71" spans="2:7" ht="12">
      <c r="B71" s="7">
        <v>65</v>
      </c>
      <c r="C71" s="8" t="s">
        <v>226</v>
      </c>
      <c r="D71" s="8" t="s">
        <v>206</v>
      </c>
      <c r="E71" s="20">
        <v>0.00036</v>
      </c>
      <c r="F71" s="10">
        <v>1071.0594999999998</v>
      </c>
      <c r="G71" s="11">
        <f t="shared" si="1"/>
        <v>0.38558141999999995</v>
      </c>
    </row>
    <row r="72" spans="2:7" ht="24">
      <c r="B72" s="7">
        <v>66</v>
      </c>
      <c r="C72" s="8" t="s">
        <v>227</v>
      </c>
      <c r="D72" s="8" t="s">
        <v>204</v>
      </c>
      <c r="E72" s="20">
        <v>0.00070075</v>
      </c>
      <c r="F72" s="10">
        <v>79242.7664</v>
      </c>
      <c r="G72" s="11">
        <f t="shared" si="1"/>
        <v>55.529368554799994</v>
      </c>
    </row>
    <row r="73" spans="2:7" ht="24">
      <c r="B73" s="7">
        <v>67</v>
      </c>
      <c r="C73" s="8" t="s">
        <v>228</v>
      </c>
      <c r="D73" s="8" t="s">
        <v>204</v>
      </c>
      <c r="E73" s="20">
        <v>8.4E-05</v>
      </c>
      <c r="F73" s="10">
        <v>78337.7</v>
      </c>
      <c r="G73" s="11">
        <f t="shared" si="1"/>
        <v>6.580366799999999</v>
      </c>
    </row>
    <row r="74" spans="2:7" ht="24">
      <c r="B74" s="7">
        <v>68</v>
      </c>
      <c r="C74" s="8" t="s">
        <v>229</v>
      </c>
      <c r="D74" s="8" t="s">
        <v>199</v>
      </c>
      <c r="E74" s="20">
        <v>1.5</v>
      </c>
      <c r="F74" s="10">
        <v>2499.476</v>
      </c>
      <c r="G74" s="11">
        <f t="shared" si="1"/>
        <v>3749.214</v>
      </c>
    </row>
    <row r="75" spans="2:7" ht="12">
      <c r="B75" s="7">
        <v>69</v>
      </c>
      <c r="C75" s="8" t="s">
        <v>230</v>
      </c>
      <c r="D75" s="8" t="s">
        <v>204</v>
      </c>
      <c r="E75" s="20">
        <v>0.00361</v>
      </c>
      <c r="F75" s="10">
        <v>2550.4556</v>
      </c>
      <c r="G75" s="11">
        <f t="shared" si="1"/>
        <v>9.207144715999998</v>
      </c>
    </row>
    <row r="76" spans="2:7" ht="12">
      <c r="B76" s="7">
        <v>70</v>
      </c>
      <c r="C76" s="8" t="s">
        <v>231</v>
      </c>
      <c r="D76" s="8" t="s">
        <v>217</v>
      </c>
      <c r="E76" s="20">
        <v>0.00273</v>
      </c>
      <c r="F76" s="10">
        <v>12.4593</v>
      </c>
      <c r="G76" s="11">
        <f t="shared" si="1"/>
        <v>0.034013889</v>
      </c>
    </row>
    <row r="77" spans="2:7" ht="12">
      <c r="B77" s="7">
        <v>71</v>
      </c>
      <c r="C77" s="8" t="s">
        <v>232</v>
      </c>
      <c r="D77" s="8" t="s">
        <v>217</v>
      </c>
      <c r="E77" s="20">
        <v>0.408</v>
      </c>
      <c r="F77" s="10">
        <v>237.6549</v>
      </c>
      <c r="G77" s="11">
        <f t="shared" si="1"/>
        <v>96.96319919999999</v>
      </c>
    </row>
    <row r="78" spans="2:7" ht="12">
      <c r="B78" s="7">
        <v>72</v>
      </c>
      <c r="C78" s="8" t="s">
        <v>233</v>
      </c>
      <c r="D78" s="8" t="s">
        <v>224</v>
      </c>
      <c r="E78" s="20">
        <v>0.03</v>
      </c>
      <c r="F78" s="10">
        <v>43.434999999999995</v>
      </c>
      <c r="G78" s="11">
        <f t="shared" si="1"/>
        <v>1.3030499999999998</v>
      </c>
    </row>
    <row r="79" spans="2:7" ht="12">
      <c r="B79" s="7">
        <v>73</v>
      </c>
      <c r="C79" s="8" t="s">
        <v>234</v>
      </c>
      <c r="D79" s="8" t="s">
        <v>204</v>
      </c>
      <c r="E79" s="20">
        <v>0.00036</v>
      </c>
      <c r="F79" s="10">
        <v>50747.5381</v>
      </c>
      <c r="G79" s="11">
        <f t="shared" si="1"/>
        <v>18.269113716</v>
      </c>
    </row>
    <row r="80" spans="2:7" ht="12">
      <c r="B80" s="7">
        <v>74</v>
      </c>
      <c r="C80" s="8" t="s">
        <v>235</v>
      </c>
      <c r="D80" s="8" t="s">
        <v>204</v>
      </c>
      <c r="E80" s="20">
        <v>0.0029301</v>
      </c>
      <c r="F80" s="10">
        <v>52734.83809999999</v>
      </c>
      <c r="G80" s="11">
        <f t="shared" si="1"/>
        <v>154.51834911681</v>
      </c>
    </row>
    <row r="81" spans="2:7" ht="12">
      <c r="B81" s="7">
        <v>75</v>
      </c>
      <c r="C81" s="8" t="s">
        <v>236</v>
      </c>
      <c r="D81" s="8" t="s">
        <v>206</v>
      </c>
      <c r="E81" s="20">
        <v>0.2211</v>
      </c>
      <c r="F81" s="10">
        <v>61.77289999999999</v>
      </c>
      <c r="G81" s="11">
        <f aca="true" t="shared" si="2" ref="G81:G112">E81*F81</f>
        <v>13.657988189999998</v>
      </c>
    </row>
    <row r="82" spans="2:7" ht="12">
      <c r="B82" s="7">
        <v>76</v>
      </c>
      <c r="C82" s="8" t="s">
        <v>237</v>
      </c>
      <c r="D82" s="8" t="s">
        <v>199</v>
      </c>
      <c r="E82" s="20">
        <v>30</v>
      </c>
      <c r="F82" s="10">
        <v>39.9126</v>
      </c>
      <c r="G82" s="11">
        <f t="shared" si="2"/>
        <v>1197.378</v>
      </c>
    </row>
    <row r="83" spans="2:7" ht="12">
      <c r="B83" s="7">
        <v>77</v>
      </c>
      <c r="C83" s="8" t="s">
        <v>238</v>
      </c>
      <c r="D83" s="8" t="s">
        <v>204</v>
      </c>
      <c r="E83" s="20">
        <v>0.0002</v>
      </c>
      <c r="F83" s="10">
        <v>40326.101200000005</v>
      </c>
      <c r="G83" s="11">
        <f t="shared" si="2"/>
        <v>8.065220240000002</v>
      </c>
    </row>
    <row r="84" spans="2:7" ht="12">
      <c r="B84" s="7">
        <v>78</v>
      </c>
      <c r="C84" s="8" t="s">
        <v>239</v>
      </c>
      <c r="D84" s="8" t="s">
        <v>204</v>
      </c>
      <c r="E84" s="20">
        <v>0.00021</v>
      </c>
      <c r="F84" s="10">
        <v>78217.31959999999</v>
      </c>
      <c r="G84" s="11">
        <f t="shared" si="2"/>
        <v>16.425637115999997</v>
      </c>
    </row>
    <row r="85" spans="2:7" ht="12">
      <c r="B85" s="7">
        <v>79</v>
      </c>
      <c r="C85" s="8" t="s">
        <v>240</v>
      </c>
      <c r="D85" s="8" t="s">
        <v>204</v>
      </c>
      <c r="E85" s="20">
        <v>0.001615</v>
      </c>
      <c r="F85" s="10">
        <v>39962.984599999996</v>
      </c>
      <c r="G85" s="11">
        <f t="shared" si="2"/>
        <v>64.54022012899999</v>
      </c>
    </row>
    <row r="86" spans="2:7" ht="12">
      <c r="B86" s="7">
        <v>80</v>
      </c>
      <c r="C86" s="8" t="s">
        <v>241</v>
      </c>
      <c r="D86" s="8" t="s">
        <v>224</v>
      </c>
      <c r="E86" s="20">
        <v>0.155</v>
      </c>
      <c r="F86" s="10">
        <v>22.764699999999998</v>
      </c>
      <c r="G86" s="11">
        <f t="shared" si="2"/>
        <v>3.5285284999999997</v>
      </c>
    </row>
    <row r="87" spans="2:7" ht="12">
      <c r="B87" s="7">
        <v>81</v>
      </c>
      <c r="C87" s="8" t="s">
        <v>242</v>
      </c>
      <c r="D87" s="8" t="s">
        <v>217</v>
      </c>
      <c r="E87" s="20">
        <v>52.1914</v>
      </c>
      <c r="F87" s="10">
        <v>46.0173</v>
      </c>
      <c r="G87" s="11">
        <f t="shared" si="2"/>
        <v>2401.70731122</v>
      </c>
    </row>
    <row r="88" spans="2:7" ht="12">
      <c r="B88" s="7">
        <v>82</v>
      </c>
      <c r="C88" s="8" t="s">
        <v>243</v>
      </c>
      <c r="D88" s="8" t="s">
        <v>204</v>
      </c>
      <c r="E88" s="20">
        <v>3E-05</v>
      </c>
      <c r="F88" s="10">
        <v>41532.666</v>
      </c>
      <c r="G88" s="11">
        <f t="shared" si="2"/>
        <v>1.24597998</v>
      </c>
    </row>
    <row r="89" spans="2:7" ht="12">
      <c r="B89" s="7">
        <v>83</v>
      </c>
      <c r="C89" s="8" t="s">
        <v>244</v>
      </c>
      <c r="D89" s="8" t="s">
        <v>217</v>
      </c>
      <c r="E89" s="20">
        <v>2.109</v>
      </c>
      <c r="F89" s="10">
        <v>58.750299999999996</v>
      </c>
      <c r="G89" s="11">
        <f t="shared" si="2"/>
        <v>123.90438269999999</v>
      </c>
    </row>
    <row r="90" spans="2:7" ht="24">
      <c r="B90" s="7">
        <v>84</v>
      </c>
      <c r="C90" s="8" t="s">
        <v>245</v>
      </c>
      <c r="D90" s="8" t="s">
        <v>217</v>
      </c>
      <c r="E90" s="20">
        <v>6</v>
      </c>
      <c r="F90" s="10">
        <v>116.02499999999999</v>
      </c>
      <c r="G90" s="11">
        <f t="shared" si="2"/>
        <v>696.15</v>
      </c>
    </row>
    <row r="91" spans="2:7" ht="36">
      <c r="B91" s="7">
        <v>85</v>
      </c>
      <c r="C91" s="8" t="s">
        <v>246</v>
      </c>
      <c r="D91" s="8" t="s">
        <v>204</v>
      </c>
      <c r="E91" s="20">
        <v>0.00544</v>
      </c>
      <c r="F91" s="10">
        <v>31272.5693</v>
      </c>
      <c r="G91" s="11">
        <f t="shared" si="2"/>
        <v>170.122776992</v>
      </c>
    </row>
    <row r="92" spans="2:7" ht="24">
      <c r="B92" s="7">
        <v>86</v>
      </c>
      <c r="C92" s="8" t="s">
        <v>247</v>
      </c>
      <c r="D92" s="8" t="s">
        <v>204</v>
      </c>
      <c r="E92" s="20">
        <v>5E-05</v>
      </c>
      <c r="F92" s="10">
        <v>326718.8197</v>
      </c>
      <c r="G92" s="11">
        <f t="shared" si="2"/>
        <v>16.335940985</v>
      </c>
    </row>
    <row r="93" spans="2:7" ht="12">
      <c r="B93" s="7">
        <v>87</v>
      </c>
      <c r="C93" s="8" t="s">
        <v>248</v>
      </c>
      <c r="D93" s="8" t="s">
        <v>217</v>
      </c>
      <c r="E93" s="20">
        <v>0.146</v>
      </c>
      <c r="F93" s="10">
        <v>62.3441</v>
      </c>
      <c r="G93" s="11">
        <f t="shared" si="2"/>
        <v>9.1022386</v>
      </c>
    </row>
    <row r="94" spans="2:7" ht="12">
      <c r="B94" s="7">
        <v>88</v>
      </c>
      <c r="C94" s="8" t="s">
        <v>249</v>
      </c>
      <c r="D94" s="8" t="s">
        <v>204</v>
      </c>
      <c r="E94" s="20">
        <v>7.2E-05</v>
      </c>
      <c r="F94" s="10">
        <v>60639.5321</v>
      </c>
      <c r="G94" s="11">
        <f t="shared" si="2"/>
        <v>4.3660463112</v>
      </c>
    </row>
    <row r="95" spans="2:7" ht="12">
      <c r="B95" s="7">
        <v>89</v>
      </c>
      <c r="C95" s="8" t="s">
        <v>250</v>
      </c>
      <c r="D95" s="8" t="s">
        <v>204</v>
      </c>
      <c r="E95" s="20">
        <v>0.396</v>
      </c>
      <c r="F95" s="10">
        <v>26056.2043</v>
      </c>
      <c r="G95" s="11">
        <f t="shared" si="2"/>
        <v>10318.256902800002</v>
      </c>
    </row>
    <row r="96" spans="2:7" ht="12">
      <c r="B96" s="7">
        <v>90</v>
      </c>
      <c r="C96" s="8" t="s">
        <v>251</v>
      </c>
      <c r="D96" s="8" t="s">
        <v>217</v>
      </c>
      <c r="E96" s="20">
        <v>0.45</v>
      </c>
      <c r="F96" s="10">
        <v>125.6164</v>
      </c>
      <c r="G96" s="11">
        <f t="shared" si="2"/>
        <v>56.52738</v>
      </c>
    </row>
    <row r="97" spans="2:7" ht="24">
      <c r="B97" s="7">
        <v>91</v>
      </c>
      <c r="C97" s="8" t="s">
        <v>252</v>
      </c>
      <c r="D97" s="8" t="s">
        <v>204</v>
      </c>
      <c r="E97" s="20">
        <v>0.0006501</v>
      </c>
      <c r="F97" s="10">
        <v>59302.8051</v>
      </c>
      <c r="G97" s="11">
        <f t="shared" si="2"/>
        <v>38.55275359551</v>
      </c>
    </row>
    <row r="98" spans="2:7" ht="12">
      <c r="B98" s="7">
        <v>92</v>
      </c>
      <c r="C98" s="8" t="s">
        <v>253</v>
      </c>
      <c r="D98" s="8" t="s">
        <v>204</v>
      </c>
      <c r="E98" s="20">
        <v>0.1905</v>
      </c>
      <c r="F98" s="10">
        <v>39254.803700000004</v>
      </c>
      <c r="G98" s="11">
        <f t="shared" si="2"/>
        <v>7478.040104850001</v>
      </c>
    </row>
    <row r="99" spans="2:7" ht="12">
      <c r="B99" s="7">
        <v>93</v>
      </c>
      <c r="C99" s="8" t="s">
        <v>254</v>
      </c>
      <c r="D99" s="8" t="s">
        <v>204</v>
      </c>
      <c r="E99" s="20">
        <v>0.000155</v>
      </c>
      <c r="F99" s="10">
        <v>71280.0242</v>
      </c>
      <c r="G99" s="11">
        <f t="shared" si="2"/>
        <v>11.048403751</v>
      </c>
    </row>
    <row r="100" spans="2:7" ht="24">
      <c r="B100" s="7">
        <v>94</v>
      </c>
      <c r="C100" s="8" t="s">
        <v>255</v>
      </c>
      <c r="D100" s="8" t="s">
        <v>206</v>
      </c>
      <c r="E100" s="20">
        <v>0.01064</v>
      </c>
      <c r="F100" s="10">
        <v>2333.4114999999997</v>
      </c>
      <c r="G100" s="11">
        <f t="shared" si="2"/>
        <v>24.827498359999996</v>
      </c>
    </row>
    <row r="101" spans="2:7" ht="12">
      <c r="B101" s="7">
        <v>95</v>
      </c>
      <c r="C101" s="8" t="s">
        <v>256</v>
      </c>
      <c r="D101" s="8" t="s">
        <v>199</v>
      </c>
      <c r="E101" s="20">
        <v>645.8</v>
      </c>
      <c r="F101" s="10">
        <v>3.7960999999999996</v>
      </c>
      <c r="G101" s="11">
        <f t="shared" si="2"/>
        <v>2451.5213799999997</v>
      </c>
    </row>
    <row r="102" spans="2:7" ht="12">
      <c r="B102" s="7">
        <v>96</v>
      </c>
      <c r="C102" s="8" t="s">
        <v>257</v>
      </c>
      <c r="D102" s="8" t="s">
        <v>217</v>
      </c>
      <c r="E102" s="20">
        <v>9.3192</v>
      </c>
      <c r="F102" s="10">
        <v>176.02479999999997</v>
      </c>
      <c r="G102" s="11">
        <f t="shared" si="2"/>
        <v>1640.4103161599999</v>
      </c>
    </row>
    <row r="103" spans="2:7" ht="12">
      <c r="B103" s="7">
        <v>97</v>
      </c>
      <c r="C103" s="8" t="s">
        <v>258</v>
      </c>
      <c r="D103" s="8" t="s">
        <v>217</v>
      </c>
      <c r="E103" s="20">
        <v>0.475</v>
      </c>
      <c r="F103" s="10">
        <v>35.319199999999995</v>
      </c>
      <c r="G103" s="11">
        <f t="shared" si="2"/>
        <v>16.776619999999998</v>
      </c>
    </row>
    <row r="104" spans="2:7" ht="24">
      <c r="B104" s="7">
        <v>98</v>
      </c>
      <c r="C104" s="8" t="s">
        <v>259</v>
      </c>
      <c r="D104" s="8" t="s">
        <v>204</v>
      </c>
      <c r="E104" s="20">
        <v>0.000122</v>
      </c>
      <c r="F104" s="10">
        <v>340343.0821</v>
      </c>
      <c r="G104" s="11">
        <f t="shared" si="2"/>
        <v>41.5218560162</v>
      </c>
    </row>
    <row r="105" spans="2:7" ht="12">
      <c r="B105" s="7">
        <v>99</v>
      </c>
      <c r="C105" s="8" t="s">
        <v>260</v>
      </c>
      <c r="D105" s="8" t="s">
        <v>199</v>
      </c>
      <c r="E105" s="20">
        <v>30</v>
      </c>
      <c r="F105" s="10">
        <v>65.02159999999999</v>
      </c>
      <c r="G105" s="11">
        <f t="shared" si="2"/>
        <v>1950.6479999999997</v>
      </c>
    </row>
    <row r="106" spans="2:7" ht="12">
      <c r="B106" s="7">
        <v>100</v>
      </c>
      <c r="C106" s="8" t="s">
        <v>261</v>
      </c>
      <c r="D106" s="8" t="s">
        <v>204</v>
      </c>
      <c r="E106" s="20">
        <v>0.000106</v>
      </c>
      <c r="F106" s="10">
        <v>36366.5904</v>
      </c>
      <c r="G106" s="11">
        <f t="shared" si="2"/>
        <v>3.8548585824000003</v>
      </c>
    </row>
    <row r="107" spans="2:7" ht="12">
      <c r="B107" s="7">
        <v>101</v>
      </c>
      <c r="C107" s="8" t="s">
        <v>262</v>
      </c>
      <c r="D107" s="8" t="s">
        <v>217</v>
      </c>
      <c r="E107" s="20">
        <v>5.22315</v>
      </c>
      <c r="F107" s="10">
        <v>107.4451</v>
      </c>
      <c r="G107" s="11">
        <f t="shared" si="2"/>
        <v>561.201874065</v>
      </c>
    </row>
    <row r="108" spans="2:7" ht="12">
      <c r="B108" s="7">
        <v>102</v>
      </c>
      <c r="C108" s="8" t="s">
        <v>263</v>
      </c>
      <c r="D108" s="8" t="s">
        <v>217</v>
      </c>
      <c r="E108" s="20">
        <v>0.0976</v>
      </c>
      <c r="F108" s="10">
        <v>58.750299999999996</v>
      </c>
      <c r="G108" s="11">
        <f t="shared" si="2"/>
        <v>5.73402928</v>
      </c>
    </row>
    <row r="109" spans="2:7" ht="12">
      <c r="B109" s="7">
        <v>103</v>
      </c>
      <c r="C109" s="8" t="s">
        <v>264</v>
      </c>
      <c r="D109" s="8" t="s">
        <v>217</v>
      </c>
      <c r="E109" s="20">
        <v>0.141</v>
      </c>
      <c r="F109" s="10">
        <v>61.4397</v>
      </c>
      <c r="G109" s="11">
        <f t="shared" si="2"/>
        <v>8.6629977</v>
      </c>
    </row>
    <row r="110" spans="2:7" ht="12">
      <c r="B110" s="7">
        <v>104</v>
      </c>
      <c r="C110" s="8" t="s">
        <v>265</v>
      </c>
      <c r="D110" s="8" t="s">
        <v>204</v>
      </c>
      <c r="E110" s="20">
        <v>2.5E-05</v>
      </c>
      <c r="F110" s="10">
        <v>191386.629</v>
      </c>
      <c r="G110" s="11">
        <f t="shared" si="2"/>
        <v>4.784665725</v>
      </c>
    </row>
    <row r="111" spans="2:7" ht="12">
      <c r="B111" s="7">
        <v>105</v>
      </c>
      <c r="C111" s="8" t="s">
        <v>266</v>
      </c>
      <c r="D111" s="8" t="s">
        <v>204</v>
      </c>
      <c r="E111" s="20">
        <v>0.021375</v>
      </c>
      <c r="F111" s="10">
        <v>7450.3996</v>
      </c>
      <c r="G111" s="11">
        <f t="shared" si="2"/>
        <v>159.25229145</v>
      </c>
    </row>
    <row r="112" spans="2:7" ht="24">
      <c r="B112" s="7">
        <v>106</v>
      </c>
      <c r="C112" s="8" t="s">
        <v>267</v>
      </c>
      <c r="D112" s="8" t="s">
        <v>206</v>
      </c>
      <c r="E112" s="20">
        <v>0.00023762</v>
      </c>
      <c r="F112" s="10">
        <v>713.8096</v>
      </c>
      <c r="G112" s="11">
        <f t="shared" si="2"/>
        <v>0.169615437152</v>
      </c>
    </row>
    <row r="113" spans="2:7" ht="12">
      <c r="B113" s="7">
        <v>107</v>
      </c>
      <c r="C113" s="8" t="s">
        <v>268</v>
      </c>
      <c r="D113" s="8" t="s">
        <v>204</v>
      </c>
      <c r="E113" s="20">
        <v>0.1125</v>
      </c>
      <c r="F113" s="10">
        <v>45366.90549999999</v>
      </c>
      <c r="G113" s="11">
        <f aca="true" t="shared" si="3" ref="G113:G144">E113*F113</f>
        <v>5103.776868749999</v>
      </c>
    </row>
    <row r="114" spans="2:7" ht="12">
      <c r="B114" s="7">
        <v>108</v>
      </c>
      <c r="C114" s="8" t="s">
        <v>269</v>
      </c>
      <c r="D114" s="8" t="s">
        <v>217</v>
      </c>
      <c r="E114" s="20">
        <v>0.312</v>
      </c>
      <c r="F114" s="10">
        <v>162.44689999999997</v>
      </c>
      <c r="G114" s="11">
        <f t="shared" si="3"/>
        <v>50.68343279999999</v>
      </c>
    </row>
    <row r="115" spans="2:7" ht="12">
      <c r="B115" s="7">
        <v>109</v>
      </c>
      <c r="C115" s="8" t="s">
        <v>270</v>
      </c>
      <c r="D115" s="8" t="s">
        <v>204</v>
      </c>
      <c r="E115" s="20">
        <v>3E-05</v>
      </c>
      <c r="F115" s="10">
        <v>55551.234899999996</v>
      </c>
      <c r="G115" s="11">
        <f t="shared" si="3"/>
        <v>1.6665370469999998</v>
      </c>
    </row>
    <row r="116" spans="2:7" ht="12">
      <c r="B116" s="7">
        <v>110</v>
      </c>
      <c r="C116" s="8" t="s">
        <v>271</v>
      </c>
      <c r="D116" s="8" t="s">
        <v>199</v>
      </c>
      <c r="E116" s="20">
        <v>4</v>
      </c>
      <c r="F116" s="10">
        <v>856.7643</v>
      </c>
      <c r="G116" s="11">
        <f t="shared" si="3"/>
        <v>3427.0572</v>
      </c>
    </row>
    <row r="117" spans="2:7" ht="12">
      <c r="B117" s="7">
        <v>111</v>
      </c>
      <c r="C117" s="8" t="s">
        <v>272</v>
      </c>
      <c r="D117" s="8" t="s">
        <v>217</v>
      </c>
      <c r="E117" s="20">
        <v>0.005</v>
      </c>
      <c r="F117" s="10">
        <v>183.08149999999998</v>
      </c>
      <c r="G117" s="11">
        <f t="shared" si="3"/>
        <v>0.9154074999999999</v>
      </c>
    </row>
    <row r="118" spans="2:7" ht="12">
      <c r="B118" s="7">
        <v>112</v>
      </c>
      <c r="C118" s="8" t="s">
        <v>273</v>
      </c>
      <c r="D118" s="8" t="s">
        <v>274</v>
      </c>
      <c r="E118" s="20">
        <v>0.0306</v>
      </c>
      <c r="F118" s="21">
        <v>2373.24</v>
      </c>
      <c r="G118" s="11">
        <f t="shared" si="3"/>
        <v>72.62114399999999</v>
      </c>
    </row>
    <row r="119" spans="2:7" ht="12">
      <c r="B119" s="7">
        <v>113</v>
      </c>
      <c r="C119" s="8" t="s">
        <v>275</v>
      </c>
      <c r="D119" s="8" t="s">
        <v>204</v>
      </c>
      <c r="E119" s="20">
        <v>0.0001404</v>
      </c>
      <c r="F119" s="10">
        <v>42258.70879999999</v>
      </c>
      <c r="G119" s="11">
        <f t="shared" si="3"/>
        <v>5.933122715519999</v>
      </c>
    </row>
    <row r="120" spans="2:7" ht="24">
      <c r="B120" s="7">
        <v>114</v>
      </c>
      <c r="C120" s="8" t="s">
        <v>276</v>
      </c>
      <c r="D120" s="8" t="s">
        <v>204</v>
      </c>
      <c r="E120" s="20">
        <v>4E-05</v>
      </c>
      <c r="F120" s="10">
        <v>52870.7242</v>
      </c>
      <c r="G120" s="11">
        <f t="shared" si="3"/>
        <v>2.114828968</v>
      </c>
    </row>
    <row r="121" spans="2:7" ht="12">
      <c r="B121" s="7">
        <v>115</v>
      </c>
      <c r="C121" s="8" t="s">
        <v>277</v>
      </c>
      <c r="D121" s="8" t="s">
        <v>220</v>
      </c>
      <c r="E121" s="20">
        <v>0.005</v>
      </c>
      <c r="F121" s="10">
        <v>17823.8676</v>
      </c>
      <c r="G121" s="11">
        <f t="shared" si="3"/>
        <v>89.11933800000001</v>
      </c>
    </row>
    <row r="122" spans="2:7" ht="12">
      <c r="B122" s="7">
        <v>116</v>
      </c>
      <c r="C122" s="8" t="s">
        <v>278</v>
      </c>
      <c r="D122" s="8" t="s">
        <v>206</v>
      </c>
      <c r="E122" s="20">
        <v>1.65</v>
      </c>
      <c r="F122" s="10">
        <v>2785.0046</v>
      </c>
      <c r="G122" s="11">
        <f t="shared" si="3"/>
        <v>4595.25759</v>
      </c>
    </row>
    <row r="123" spans="2:7" ht="12">
      <c r="B123" s="7">
        <v>117</v>
      </c>
      <c r="C123" s="8" t="s">
        <v>279</v>
      </c>
      <c r="D123" s="8" t="s">
        <v>206</v>
      </c>
      <c r="E123" s="20">
        <v>0.0023</v>
      </c>
      <c r="F123" s="10">
        <v>2742.9024</v>
      </c>
      <c r="G123" s="11">
        <f t="shared" si="3"/>
        <v>6.3086755199999995</v>
      </c>
    </row>
    <row r="124" spans="2:7" ht="12">
      <c r="B124" s="7">
        <v>118</v>
      </c>
      <c r="C124" s="8" t="s">
        <v>280</v>
      </c>
      <c r="D124" s="8" t="s">
        <v>206</v>
      </c>
      <c r="E124" s="20">
        <v>0.51</v>
      </c>
      <c r="F124" s="10">
        <v>2482.8041</v>
      </c>
      <c r="G124" s="11">
        <f t="shared" si="3"/>
        <v>1266.230091</v>
      </c>
    </row>
    <row r="125" spans="2:7" ht="12">
      <c r="B125" s="7">
        <v>119</v>
      </c>
      <c r="C125" s="8" t="s">
        <v>281</v>
      </c>
      <c r="D125" s="8" t="s">
        <v>206</v>
      </c>
      <c r="E125" s="20">
        <v>0.001</v>
      </c>
      <c r="F125" s="10">
        <v>3879.2452999999996</v>
      </c>
      <c r="G125" s="11">
        <f t="shared" si="3"/>
        <v>3.8792452999999996</v>
      </c>
    </row>
    <row r="126" spans="2:7" ht="12">
      <c r="B126" s="7">
        <v>120</v>
      </c>
      <c r="C126" s="8" t="s">
        <v>282</v>
      </c>
      <c r="D126" s="8" t="s">
        <v>204</v>
      </c>
      <c r="E126" s="20">
        <v>0.0012501</v>
      </c>
      <c r="F126" s="10">
        <v>61795.867</v>
      </c>
      <c r="G126" s="11">
        <f t="shared" si="3"/>
        <v>77.2510133367</v>
      </c>
    </row>
    <row r="127" spans="2:7" ht="12">
      <c r="B127" s="7">
        <v>121</v>
      </c>
      <c r="C127" s="8" t="s">
        <v>283</v>
      </c>
      <c r="D127" s="8" t="s">
        <v>199</v>
      </c>
      <c r="E127" s="20">
        <v>0.25</v>
      </c>
      <c r="F127" s="10">
        <v>135.9932</v>
      </c>
      <c r="G127" s="11">
        <f t="shared" si="3"/>
        <v>33.9983</v>
      </c>
    </row>
    <row r="128" spans="2:7" ht="12">
      <c r="B128" s="7">
        <v>122</v>
      </c>
      <c r="C128" s="8" t="s">
        <v>284</v>
      </c>
      <c r="D128" s="8" t="s">
        <v>199</v>
      </c>
      <c r="E128" s="20">
        <v>0.25</v>
      </c>
      <c r="F128" s="10">
        <v>15463.609699999999</v>
      </c>
      <c r="G128" s="11">
        <f t="shared" si="3"/>
        <v>3865.9024249999998</v>
      </c>
    </row>
    <row r="129" spans="2:7" ht="12">
      <c r="B129" s="7">
        <v>123</v>
      </c>
      <c r="C129" s="8" t="s">
        <v>285</v>
      </c>
      <c r="D129" s="8" t="s">
        <v>217</v>
      </c>
      <c r="E129" s="20">
        <v>0.8</v>
      </c>
      <c r="F129" s="10">
        <v>89.2262</v>
      </c>
      <c r="G129" s="11">
        <f t="shared" si="3"/>
        <v>71.38096</v>
      </c>
    </row>
    <row r="130" spans="2:7" ht="12">
      <c r="B130" s="7">
        <v>124</v>
      </c>
      <c r="C130" s="8" t="s">
        <v>286</v>
      </c>
      <c r="D130" s="8" t="s">
        <v>217</v>
      </c>
      <c r="E130" s="20">
        <v>0.05</v>
      </c>
      <c r="F130" s="10">
        <v>259.47950000000003</v>
      </c>
      <c r="G130" s="11">
        <f t="shared" si="3"/>
        <v>12.973975000000003</v>
      </c>
    </row>
    <row r="131" spans="2:7" ht="12">
      <c r="B131" s="7">
        <v>125</v>
      </c>
      <c r="C131" s="8" t="s">
        <v>287</v>
      </c>
      <c r="D131" s="8" t="s">
        <v>224</v>
      </c>
      <c r="E131" s="20">
        <v>138</v>
      </c>
      <c r="F131" s="10">
        <v>11.6382</v>
      </c>
      <c r="G131" s="11">
        <f t="shared" si="3"/>
        <v>1606.0716</v>
      </c>
    </row>
    <row r="132" spans="2:7" ht="12">
      <c r="B132" s="7">
        <v>126</v>
      </c>
      <c r="C132" s="8" t="s">
        <v>288</v>
      </c>
      <c r="D132" s="8" t="s">
        <v>199</v>
      </c>
      <c r="E132" s="20">
        <v>1.83</v>
      </c>
      <c r="F132" s="10">
        <v>15.4343</v>
      </c>
      <c r="G132" s="11">
        <f t="shared" si="3"/>
        <v>28.244769</v>
      </c>
    </row>
    <row r="133" spans="2:7" ht="12">
      <c r="B133" s="7">
        <v>127</v>
      </c>
      <c r="C133" s="8" t="s">
        <v>289</v>
      </c>
      <c r="D133" s="8" t="s">
        <v>217</v>
      </c>
      <c r="E133" s="20">
        <v>0.294</v>
      </c>
      <c r="F133" s="10">
        <v>37.8777</v>
      </c>
      <c r="G133" s="11">
        <f t="shared" si="3"/>
        <v>11.136043799999998</v>
      </c>
    </row>
    <row r="134" spans="2:7" ht="24">
      <c r="B134" s="7">
        <v>128</v>
      </c>
      <c r="C134" s="8" t="s">
        <v>290</v>
      </c>
      <c r="D134" s="8" t="s">
        <v>204</v>
      </c>
      <c r="E134" s="20">
        <v>0.00024</v>
      </c>
      <c r="F134" s="10">
        <v>174718.87019999998</v>
      </c>
      <c r="G134" s="11">
        <f t="shared" si="3"/>
        <v>41.932528848</v>
      </c>
    </row>
    <row r="135" spans="2:7" ht="24">
      <c r="B135" s="7">
        <v>129</v>
      </c>
      <c r="C135" s="8" t="s">
        <v>291</v>
      </c>
      <c r="D135" s="8" t="s">
        <v>204</v>
      </c>
      <c r="E135" s="20">
        <v>0.0003</v>
      </c>
      <c r="F135" s="10">
        <v>176273.2482</v>
      </c>
      <c r="G135" s="11">
        <f t="shared" si="3"/>
        <v>52.881974459999995</v>
      </c>
    </row>
    <row r="136" spans="2:7" ht="12">
      <c r="B136" s="7">
        <v>130</v>
      </c>
      <c r="C136" s="8" t="s">
        <v>292</v>
      </c>
      <c r="D136" s="8" t="s">
        <v>204</v>
      </c>
      <c r="E136" s="20">
        <v>0.01038</v>
      </c>
      <c r="F136" s="10">
        <v>29779.3811</v>
      </c>
      <c r="G136" s="11">
        <f t="shared" si="3"/>
        <v>309.109975818</v>
      </c>
    </row>
    <row r="137" spans="2:7" ht="24">
      <c r="B137" s="7">
        <v>131</v>
      </c>
      <c r="C137" s="8" t="s">
        <v>293</v>
      </c>
      <c r="D137" s="8" t="s">
        <v>224</v>
      </c>
      <c r="E137" s="20">
        <v>0.68666667</v>
      </c>
      <c r="F137" s="10">
        <v>191.0188</v>
      </c>
      <c r="G137" s="11">
        <f t="shared" si="3"/>
        <v>131.16624330339602</v>
      </c>
    </row>
    <row r="138" spans="2:7" ht="12">
      <c r="B138" s="7">
        <v>132</v>
      </c>
      <c r="C138" s="8" t="s">
        <v>294</v>
      </c>
      <c r="D138" s="8" t="s">
        <v>204</v>
      </c>
      <c r="E138" s="20">
        <v>1E-05</v>
      </c>
      <c r="F138" s="10">
        <v>41189.505699999994</v>
      </c>
      <c r="G138" s="11">
        <f t="shared" si="3"/>
        <v>0.41189505699999995</v>
      </c>
    </row>
    <row r="139" spans="2:7" ht="12">
      <c r="B139" s="7">
        <v>133</v>
      </c>
      <c r="C139" s="8" t="s">
        <v>295</v>
      </c>
      <c r="D139" s="8" t="s">
        <v>204</v>
      </c>
      <c r="E139" s="20">
        <v>0.0002442</v>
      </c>
      <c r="F139" s="10">
        <v>105713.1145</v>
      </c>
      <c r="G139" s="11">
        <f t="shared" si="3"/>
        <v>25.815142560900004</v>
      </c>
    </row>
    <row r="140" spans="2:7" ht="12">
      <c r="B140" s="7">
        <v>134</v>
      </c>
      <c r="C140" s="8" t="s">
        <v>296</v>
      </c>
      <c r="D140" s="8" t="s">
        <v>204</v>
      </c>
      <c r="E140" s="20">
        <v>0.00033</v>
      </c>
      <c r="F140" s="10">
        <v>7101.3726</v>
      </c>
      <c r="G140" s="11">
        <f t="shared" si="3"/>
        <v>2.343452958</v>
      </c>
    </row>
    <row r="141" spans="2:7" ht="12">
      <c r="B141" s="7">
        <v>135</v>
      </c>
      <c r="C141" s="8" t="s">
        <v>297</v>
      </c>
      <c r="D141" s="8" t="s">
        <v>298</v>
      </c>
      <c r="E141" s="20">
        <v>2.3298</v>
      </c>
      <c r="F141" s="10">
        <v>255.55249999999998</v>
      </c>
      <c r="G141" s="11">
        <f t="shared" si="3"/>
        <v>595.3862144999999</v>
      </c>
    </row>
    <row r="142" spans="2:7" ht="36">
      <c r="B142" s="7">
        <v>136</v>
      </c>
      <c r="C142" s="8" t="s">
        <v>299</v>
      </c>
      <c r="D142" s="8" t="s">
        <v>204</v>
      </c>
      <c r="E142" s="20">
        <v>0.0006</v>
      </c>
      <c r="F142" s="10">
        <v>27909.605499999998</v>
      </c>
      <c r="G142" s="11">
        <f t="shared" si="3"/>
        <v>16.745763299999997</v>
      </c>
    </row>
    <row r="143" spans="2:7" ht="12">
      <c r="B143" s="7">
        <v>137</v>
      </c>
      <c r="C143" s="8" t="s">
        <v>300</v>
      </c>
      <c r="D143" s="8" t="s">
        <v>301</v>
      </c>
      <c r="E143" s="20">
        <v>8</v>
      </c>
      <c r="F143" s="10">
        <v>177.2267</v>
      </c>
      <c r="G143" s="11">
        <f t="shared" si="3"/>
        <v>1417.8136</v>
      </c>
    </row>
    <row r="144" spans="2:7" ht="12">
      <c r="B144" s="7">
        <v>138</v>
      </c>
      <c r="C144" s="8" t="s">
        <v>302</v>
      </c>
      <c r="D144" s="8" t="s">
        <v>301</v>
      </c>
      <c r="E144" s="20">
        <v>12.2</v>
      </c>
      <c r="F144" s="10">
        <v>230.6934</v>
      </c>
      <c r="G144" s="11">
        <f t="shared" si="3"/>
        <v>2814.45948</v>
      </c>
    </row>
    <row r="145" spans="2:7" ht="24">
      <c r="B145" s="7">
        <v>139</v>
      </c>
      <c r="C145" s="8" t="s">
        <v>303</v>
      </c>
      <c r="D145" s="8" t="s">
        <v>301</v>
      </c>
      <c r="E145" s="20">
        <v>9.98</v>
      </c>
      <c r="F145" s="10">
        <v>115.51329999999999</v>
      </c>
      <c r="G145" s="11">
        <f aca="true" t="shared" si="4" ref="G145:G159">E145*F145</f>
        <v>1152.8227339999999</v>
      </c>
    </row>
    <row r="146" spans="2:7" ht="24">
      <c r="B146" s="7">
        <v>140</v>
      </c>
      <c r="C146" s="8" t="s">
        <v>304</v>
      </c>
      <c r="D146" s="8" t="s">
        <v>301</v>
      </c>
      <c r="E146" s="20">
        <v>9.98</v>
      </c>
      <c r="F146" s="10">
        <v>206.4174</v>
      </c>
      <c r="G146" s="11">
        <f t="shared" si="4"/>
        <v>2060.045652</v>
      </c>
    </row>
    <row r="147" spans="2:7" ht="36">
      <c r="B147" s="7">
        <v>141</v>
      </c>
      <c r="C147" s="8" t="s">
        <v>305</v>
      </c>
      <c r="D147" s="8" t="s">
        <v>301</v>
      </c>
      <c r="E147" s="20">
        <v>0</v>
      </c>
      <c r="F147" s="10">
        <v>117.67909999999999</v>
      </c>
      <c r="G147" s="11">
        <f t="shared" si="4"/>
        <v>0</v>
      </c>
    </row>
    <row r="148" spans="2:7" ht="36">
      <c r="B148" s="7">
        <v>142</v>
      </c>
      <c r="C148" s="8" t="s">
        <v>306</v>
      </c>
      <c r="D148" s="8" t="s">
        <v>301</v>
      </c>
      <c r="E148" s="20">
        <v>22</v>
      </c>
      <c r="F148" s="10">
        <v>152.8079</v>
      </c>
      <c r="G148" s="11">
        <f t="shared" si="4"/>
        <v>3361.7738</v>
      </c>
    </row>
    <row r="149" spans="2:7" ht="36">
      <c r="B149" s="7">
        <v>143</v>
      </c>
      <c r="C149" s="8" t="s">
        <v>307</v>
      </c>
      <c r="D149" s="8" t="s">
        <v>301</v>
      </c>
      <c r="E149" s="20">
        <v>10</v>
      </c>
      <c r="F149" s="10">
        <v>237.9405</v>
      </c>
      <c r="G149" s="11">
        <f t="shared" si="4"/>
        <v>2379.4049999999997</v>
      </c>
    </row>
    <row r="150" spans="2:7" ht="36">
      <c r="B150" s="7">
        <v>144</v>
      </c>
      <c r="C150" s="8" t="s">
        <v>308</v>
      </c>
      <c r="D150" s="8" t="s">
        <v>301</v>
      </c>
      <c r="E150" s="20">
        <v>10</v>
      </c>
      <c r="F150" s="10">
        <v>249.80479999999997</v>
      </c>
      <c r="G150" s="11">
        <f t="shared" si="4"/>
        <v>2498.048</v>
      </c>
    </row>
    <row r="151" spans="2:7" ht="36">
      <c r="B151" s="7">
        <v>145</v>
      </c>
      <c r="C151" s="8" t="s">
        <v>309</v>
      </c>
      <c r="D151" s="8" t="s">
        <v>301</v>
      </c>
      <c r="E151" s="20">
        <v>12</v>
      </c>
      <c r="F151" s="10">
        <v>429.1259</v>
      </c>
      <c r="G151" s="11">
        <f t="shared" si="4"/>
        <v>5149.5108</v>
      </c>
    </row>
    <row r="152" spans="2:7" ht="36">
      <c r="B152" s="7">
        <v>146</v>
      </c>
      <c r="C152" s="8" t="s">
        <v>310</v>
      </c>
      <c r="D152" s="8" t="s">
        <v>301</v>
      </c>
      <c r="E152" s="20">
        <v>3</v>
      </c>
      <c r="F152" s="10">
        <v>350.5383</v>
      </c>
      <c r="G152" s="11">
        <f t="shared" si="4"/>
        <v>1051.6149</v>
      </c>
    </row>
    <row r="153" spans="2:7" ht="36">
      <c r="B153" s="7">
        <v>147</v>
      </c>
      <c r="C153" s="8" t="s">
        <v>311</v>
      </c>
      <c r="D153" s="8" t="s">
        <v>301</v>
      </c>
      <c r="E153" s="20">
        <v>21</v>
      </c>
      <c r="F153" s="10">
        <v>50.8249</v>
      </c>
      <c r="G153" s="11">
        <f t="shared" si="4"/>
        <v>1067.3229</v>
      </c>
    </row>
    <row r="154" spans="2:7" ht="36">
      <c r="B154" s="7">
        <v>148</v>
      </c>
      <c r="C154" s="8" t="s">
        <v>312</v>
      </c>
      <c r="D154" s="8" t="s">
        <v>301</v>
      </c>
      <c r="E154" s="20">
        <v>12.5</v>
      </c>
      <c r="F154" s="10">
        <v>95.55699999999999</v>
      </c>
      <c r="G154" s="11">
        <f t="shared" si="4"/>
        <v>1194.4624999999999</v>
      </c>
    </row>
    <row r="155" spans="2:7" ht="12">
      <c r="B155" s="7">
        <v>149</v>
      </c>
      <c r="C155" s="8" t="s">
        <v>313</v>
      </c>
      <c r="D155" s="8" t="s">
        <v>224</v>
      </c>
      <c r="E155" s="20">
        <v>0.1154</v>
      </c>
      <c r="F155" s="10">
        <v>237.0718</v>
      </c>
      <c r="G155" s="11">
        <f t="shared" si="4"/>
        <v>27.358085720000002</v>
      </c>
    </row>
    <row r="156" spans="2:7" ht="12">
      <c r="B156" s="7">
        <v>150</v>
      </c>
      <c r="C156" s="8" t="s">
        <v>314</v>
      </c>
      <c r="D156" s="8" t="s">
        <v>204</v>
      </c>
      <c r="E156" s="20">
        <v>0.00775</v>
      </c>
      <c r="F156" s="10">
        <v>13739.109299999998</v>
      </c>
      <c r="G156" s="11">
        <f t="shared" si="4"/>
        <v>106.47809707499998</v>
      </c>
    </row>
    <row r="157" spans="2:7" ht="12">
      <c r="B157" s="7">
        <v>151</v>
      </c>
      <c r="C157" s="8" t="s">
        <v>315</v>
      </c>
      <c r="D157" s="8" t="s">
        <v>301</v>
      </c>
      <c r="E157" s="20">
        <v>4.08</v>
      </c>
      <c r="F157" s="10">
        <v>85.1445</v>
      </c>
      <c r="G157" s="11">
        <f t="shared" si="4"/>
        <v>347.38955999999996</v>
      </c>
    </row>
    <row r="158" spans="2:7" ht="12">
      <c r="B158" s="7">
        <v>152</v>
      </c>
      <c r="C158" s="8" t="s">
        <v>316</v>
      </c>
      <c r="D158" s="8" t="s">
        <v>204</v>
      </c>
      <c r="E158" s="20">
        <v>0.0005858</v>
      </c>
      <c r="F158" s="10">
        <v>48488.93</v>
      </c>
      <c r="G158" s="11">
        <f t="shared" si="4"/>
        <v>28.404815194</v>
      </c>
    </row>
    <row r="159" spans="2:7" ht="12">
      <c r="B159" s="7">
        <v>153</v>
      </c>
      <c r="C159" s="8" t="s">
        <v>317</v>
      </c>
      <c r="D159" s="8" t="s">
        <v>204</v>
      </c>
      <c r="E159" s="20">
        <v>2E-05</v>
      </c>
      <c r="F159" s="10">
        <v>46803.771</v>
      </c>
      <c r="G159" s="11">
        <f t="shared" si="4"/>
        <v>0.9360754200000001</v>
      </c>
    </row>
    <row r="160" spans="2:7" ht="12">
      <c r="B160" s="182" t="s">
        <v>139</v>
      </c>
      <c r="C160" s="182"/>
      <c r="D160" s="182"/>
      <c r="E160" s="182"/>
      <c r="F160" s="182"/>
      <c r="G160" s="22">
        <f>SUM(G49:G159)</f>
        <v>94340.68664628513</v>
      </c>
    </row>
    <row r="161" spans="2:7" ht="12.75" customHeight="1">
      <c r="B161" s="183" t="s">
        <v>318</v>
      </c>
      <c r="C161" s="183"/>
      <c r="D161" s="183"/>
      <c r="E161" s="183"/>
      <c r="F161" s="183"/>
      <c r="G161" s="183"/>
    </row>
    <row r="162" spans="2:7" ht="12">
      <c r="B162" s="15">
        <v>154</v>
      </c>
      <c r="C162" s="16" t="s">
        <v>319</v>
      </c>
      <c r="D162" s="16" t="s">
        <v>199</v>
      </c>
      <c r="E162" s="17">
        <v>0.16536508</v>
      </c>
      <c r="F162" s="18">
        <v>104.3987</v>
      </c>
      <c r="G162" s="19">
        <f aca="true" t="shared" si="5" ref="G162:G169">E162*F162</f>
        <v>17.263899377396</v>
      </c>
    </row>
    <row r="163" spans="2:7" ht="12">
      <c r="B163" s="7">
        <v>155</v>
      </c>
      <c r="C163" s="8" t="s">
        <v>320</v>
      </c>
      <c r="D163" s="8" t="s">
        <v>199</v>
      </c>
      <c r="E163" s="20">
        <v>0.76437683</v>
      </c>
      <c r="F163" s="10">
        <v>77.3976</v>
      </c>
      <c r="G163" s="11">
        <f t="shared" si="5"/>
        <v>59.160932137608</v>
      </c>
    </row>
    <row r="164" spans="2:7" ht="12">
      <c r="B164" s="7">
        <v>156</v>
      </c>
      <c r="C164" s="8" t="s">
        <v>321</v>
      </c>
      <c r="D164" s="8" t="s">
        <v>199</v>
      </c>
      <c r="E164" s="20">
        <v>0.00525</v>
      </c>
      <c r="F164" s="10">
        <v>250.4831</v>
      </c>
      <c r="G164" s="11">
        <f t="shared" si="5"/>
        <v>1.3150362750000002</v>
      </c>
    </row>
    <row r="165" spans="2:7" ht="12">
      <c r="B165" s="7">
        <v>157</v>
      </c>
      <c r="C165" s="8" t="s">
        <v>322</v>
      </c>
      <c r="D165" s="8" t="s">
        <v>199</v>
      </c>
      <c r="E165" s="20">
        <v>10.5258</v>
      </c>
      <c r="F165" s="10">
        <v>66.8423</v>
      </c>
      <c r="G165" s="11">
        <f t="shared" si="5"/>
        <v>703.56868134</v>
      </c>
    </row>
    <row r="166" spans="2:7" ht="12">
      <c r="B166" s="7">
        <v>158</v>
      </c>
      <c r="C166" s="8" t="s">
        <v>323</v>
      </c>
      <c r="D166" s="8" t="s">
        <v>199</v>
      </c>
      <c r="E166" s="20">
        <v>0.00525</v>
      </c>
      <c r="F166" s="10">
        <v>135.66</v>
      </c>
      <c r="G166" s="11">
        <f t="shared" si="5"/>
        <v>0.712215</v>
      </c>
    </row>
    <row r="167" spans="2:7" ht="12">
      <c r="B167" s="7">
        <v>159</v>
      </c>
      <c r="C167" s="8" t="s">
        <v>324</v>
      </c>
      <c r="D167" s="8" t="s">
        <v>199</v>
      </c>
      <c r="E167" s="20">
        <v>0.06651044</v>
      </c>
      <c r="F167" s="10">
        <v>82.943</v>
      </c>
      <c r="G167" s="11">
        <f t="shared" si="5"/>
        <v>5.51657542492</v>
      </c>
    </row>
    <row r="168" spans="2:7" ht="12">
      <c r="B168" s="7">
        <v>160</v>
      </c>
      <c r="C168" s="8" t="s">
        <v>325</v>
      </c>
      <c r="D168" s="8" t="s">
        <v>199</v>
      </c>
      <c r="E168" s="20">
        <v>0.16712499</v>
      </c>
      <c r="F168" s="10">
        <v>51.74119999999999</v>
      </c>
      <c r="G168" s="11">
        <f t="shared" si="5"/>
        <v>8.647247532587999</v>
      </c>
    </row>
    <row r="169" spans="2:7" ht="12">
      <c r="B169" s="7">
        <v>161</v>
      </c>
      <c r="C169" s="8" t="s">
        <v>326</v>
      </c>
      <c r="D169" s="8" t="s">
        <v>199</v>
      </c>
      <c r="E169" s="20">
        <v>0.2427504</v>
      </c>
      <c r="F169" s="10">
        <v>200.039</v>
      </c>
      <c r="G169" s="11">
        <f t="shared" si="5"/>
        <v>48.559547265599996</v>
      </c>
    </row>
    <row r="170" spans="2:7" ht="12">
      <c r="B170" s="182" t="s">
        <v>139</v>
      </c>
      <c r="C170" s="182"/>
      <c r="D170" s="182"/>
      <c r="E170" s="182"/>
      <c r="F170" s="182"/>
      <c r="G170" s="22">
        <f>SUM(G162:G169)</f>
        <v>844.7441343531121</v>
      </c>
    </row>
    <row r="171" spans="2:7" ht="12.75" customHeight="1">
      <c r="B171" s="183" t="s">
        <v>327</v>
      </c>
      <c r="C171" s="183"/>
      <c r="D171" s="183"/>
      <c r="E171" s="183"/>
      <c r="F171" s="183"/>
      <c r="G171" s="183"/>
    </row>
    <row r="172" spans="2:7" ht="12">
      <c r="B172" s="15">
        <v>162</v>
      </c>
      <c r="C172" s="16" t="s">
        <v>328</v>
      </c>
      <c r="D172" s="16" t="s">
        <v>329</v>
      </c>
      <c r="E172" s="17">
        <v>27.205</v>
      </c>
      <c r="F172" s="18">
        <v>949.2588</v>
      </c>
      <c r="G172" s="19">
        <f>E172*F172</f>
        <v>25824.585654</v>
      </c>
    </row>
    <row r="173" spans="2:7" ht="12">
      <c r="B173" s="7">
        <v>163</v>
      </c>
      <c r="C173" s="8" t="s">
        <v>330</v>
      </c>
      <c r="D173" s="8" t="s">
        <v>329</v>
      </c>
      <c r="E173" s="20">
        <v>50.66775</v>
      </c>
      <c r="F173" s="10">
        <v>86.99040000000001</v>
      </c>
      <c r="G173" s="11">
        <f>E173*F173</f>
        <v>4407.6078396</v>
      </c>
    </row>
    <row r="174" spans="2:7" ht="12">
      <c r="B174" s="7">
        <v>164</v>
      </c>
      <c r="C174" s="8" t="s">
        <v>331</v>
      </c>
      <c r="D174" s="8" t="s">
        <v>332</v>
      </c>
      <c r="E174" s="20">
        <v>26.275</v>
      </c>
      <c r="F174" s="10">
        <v>693.7182</v>
      </c>
      <c r="G174" s="11">
        <f>E174*F174</f>
        <v>18227.445705</v>
      </c>
    </row>
    <row r="175" spans="2:7" ht="12">
      <c r="B175" s="7">
        <v>165</v>
      </c>
      <c r="C175" s="8" t="s">
        <v>333</v>
      </c>
      <c r="D175" s="8" t="s">
        <v>332</v>
      </c>
      <c r="E175" s="20">
        <v>0.465</v>
      </c>
      <c r="F175" s="10">
        <v>390.5496</v>
      </c>
      <c r="G175" s="11">
        <f>E175*F175</f>
        <v>181.60556400000002</v>
      </c>
    </row>
    <row r="176" spans="2:7" ht="12">
      <c r="B176" s="182" t="s">
        <v>139</v>
      </c>
      <c r="C176" s="182"/>
      <c r="D176" s="182"/>
      <c r="E176" s="182"/>
      <c r="F176" s="182"/>
      <c r="G176" s="22">
        <f>SUM(G172:G175)</f>
        <v>48641.24476259999</v>
      </c>
    </row>
  </sheetData>
  <sheetProtection selectLockedCells="1" selectUnlockedCells="1"/>
  <mergeCells count="9">
    <mergeCell ref="B170:F170"/>
    <mergeCell ref="B171:G171"/>
    <mergeCell ref="B176:F176"/>
    <mergeCell ref="B1:G1"/>
    <mergeCell ref="B4:G4"/>
    <mergeCell ref="B47:F47"/>
    <mergeCell ref="B48:G48"/>
    <mergeCell ref="B160:F160"/>
    <mergeCell ref="B161:G161"/>
  </mergeCells>
  <printOptions/>
  <pageMargins left="0.35" right="0.35" top="0.35" bottom="0.35" header="0.5118055555555555" footer="0.3"/>
  <pageSetup fitToHeight="0" fitToWidth="1" horizontalDpi="300" verticalDpi="300" orientation="portrait" paperSize="9" scale="90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="89" zoomScaleNormal="89" zoomScalePageLayoutView="0" workbookViewId="0" topLeftCell="B1">
      <pane xSplit="2" ySplit="5" topLeftCell="D32" activePane="bottomRight" state="frozen"/>
      <selection pane="topLeft" activeCell="B1" sqref="B1"/>
      <selection pane="topRight" activeCell="D1" sqref="D1"/>
      <selection pane="bottomLeft" activeCell="B6" sqref="B6"/>
      <selection pane="bottomRight" activeCell="C45" sqref="C45"/>
    </sheetView>
  </sheetViews>
  <sheetFormatPr defaultColWidth="9.140625" defaultRowHeight="12"/>
  <cols>
    <col min="1" max="1" width="0" style="1" hidden="1" customWidth="1"/>
    <col min="2" max="2" width="7.00390625" style="1" customWidth="1"/>
    <col min="3" max="3" width="50.00390625" style="1" customWidth="1"/>
    <col min="4" max="4" width="18.00390625" style="1" customWidth="1"/>
    <col min="5" max="5" width="15.00390625" style="1" customWidth="1"/>
    <col min="6" max="6" width="12.00390625" style="1" customWidth="1"/>
    <col min="7" max="12" width="13.00390625" style="1" customWidth="1"/>
    <col min="13" max="13" width="12.57421875" style="1" customWidth="1"/>
    <col min="14" max="14" width="10.421875" style="0" customWidth="1"/>
    <col min="15" max="15" width="10.7109375" style="0" customWidth="1"/>
    <col min="16" max="16" width="8.421875" style="52" customWidth="1"/>
  </cols>
  <sheetData>
    <row r="1" spans="2:13" ht="27.75" customHeight="1"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ht="12.75" thickBot="1"/>
    <row r="3" spans="1:16" ht="68.25" thickBot="1">
      <c r="A3" s="2"/>
      <c r="B3" s="3" t="s">
        <v>1</v>
      </c>
      <c r="C3" s="4" t="s">
        <v>2</v>
      </c>
      <c r="D3" s="4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34" t="s">
        <v>12</v>
      </c>
      <c r="N3" s="70" t="s">
        <v>340</v>
      </c>
      <c r="O3" s="79" t="s">
        <v>341</v>
      </c>
      <c r="P3" s="58"/>
    </row>
    <row r="4" spans="2:16" ht="19.5" customHeight="1" thickBot="1">
      <c r="B4" s="196" t="s">
        <v>346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7"/>
      <c r="N4" s="37"/>
      <c r="O4" s="37"/>
      <c r="P4" s="58"/>
    </row>
    <row r="5" spans="2:16" ht="26.25" customHeight="1">
      <c r="B5" s="196" t="s">
        <v>13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7"/>
      <c r="N5" s="37"/>
      <c r="O5" s="37"/>
      <c r="P5" s="58"/>
    </row>
    <row r="6" spans="2:16" ht="36">
      <c r="B6" s="7">
        <v>3</v>
      </c>
      <c r="C6" s="8" t="s">
        <v>18</v>
      </c>
      <c r="D6" s="8" t="s">
        <v>19</v>
      </c>
      <c r="E6" s="9">
        <v>0.1</v>
      </c>
      <c r="F6" s="9">
        <v>1</v>
      </c>
      <c r="G6" s="10">
        <f>17034.9075*E6*F6</f>
        <v>1703.4907500000002</v>
      </c>
      <c r="H6" s="10">
        <f>7815.316908*E6*F6</f>
        <v>781.5316908</v>
      </c>
      <c r="I6" s="10">
        <f>242.140752*E6*F6</f>
        <v>24.2140752</v>
      </c>
      <c r="J6" s="10">
        <f>14371.321877124*E6*F6</f>
        <v>1437.1321877124</v>
      </c>
      <c r="K6" s="10">
        <f>1381.2290462993*E6*F6</f>
        <v>138.12290462993002</v>
      </c>
      <c r="L6" s="10"/>
      <c r="M6" s="35">
        <f>SUM(G6:L6)</f>
        <v>4084.4916083423304</v>
      </c>
      <c r="N6" s="71">
        <f aca="true" t="shared" si="0" ref="N6:N37">M6/12/310</f>
        <v>1.0979816151457877</v>
      </c>
      <c r="O6" s="71">
        <f>N6*1.18</f>
        <v>1.2956183058720294</v>
      </c>
      <c r="P6" s="188">
        <f>SUM(O6:O9)</f>
        <v>3.0815622139136685</v>
      </c>
    </row>
    <row r="7" spans="2:16" ht="24">
      <c r="B7" s="7">
        <v>5</v>
      </c>
      <c r="C7" s="8" t="s">
        <v>22</v>
      </c>
      <c r="D7" s="8" t="s">
        <v>23</v>
      </c>
      <c r="E7" s="9">
        <v>0.1</v>
      </c>
      <c r="F7" s="9">
        <v>1</v>
      </c>
      <c r="G7" s="10">
        <f>1385.2254*E7*F7</f>
        <v>138.52254000000002</v>
      </c>
      <c r="H7" s="10">
        <f>368.5874346*E7*F7</f>
        <v>36.85874346</v>
      </c>
      <c r="I7" s="10">
        <f>0*E7*F7</f>
        <v>0</v>
      </c>
      <c r="J7" s="10">
        <f>1162.2041106*E7*F7</f>
        <v>116.22041106</v>
      </c>
      <c r="K7" s="10">
        <f>102.060593082*E7*F7</f>
        <v>10.2060593082</v>
      </c>
      <c r="L7" s="10"/>
      <c r="M7" s="35">
        <f>SUM(G7:L7)</f>
        <v>301.8077538282</v>
      </c>
      <c r="N7" s="71">
        <f t="shared" si="0"/>
        <v>0.08113111662048388</v>
      </c>
      <c r="O7" s="71">
        <f>N7*1.18</f>
        <v>0.09573471761217096</v>
      </c>
      <c r="P7" s="189"/>
    </row>
    <row r="8" spans="2:16" ht="24">
      <c r="B8" s="7">
        <v>6</v>
      </c>
      <c r="C8" s="8" t="s">
        <v>24</v>
      </c>
      <c r="D8" s="8" t="s">
        <v>23</v>
      </c>
      <c r="E8" s="9">
        <v>0.05</v>
      </c>
      <c r="F8" s="9">
        <v>1</v>
      </c>
      <c r="G8" s="10">
        <f>1385.2254*E8*F8</f>
        <v>69.26127000000001</v>
      </c>
      <c r="H8" s="10">
        <f>1227.194445594*E8*F8</f>
        <v>61.3597222797</v>
      </c>
      <c r="I8" s="10">
        <f>0*E8*F8</f>
        <v>0</v>
      </c>
      <c r="J8" s="10">
        <f>1162.2041106*E8*F8</f>
        <v>58.11020553</v>
      </c>
      <c r="K8" s="10">
        <f>132.11183846679*E8*F8</f>
        <v>6.6055919233395</v>
      </c>
      <c r="L8" s="10"/>
      <c r="M8" s="35">
        <f>SUM(G8:L8)</f>
        <v>195.3367897330395</v>
      </c>
      <c r="N8" s="71">
        <f t="shared" si="0"/>
        <v>0.052509889713182656</v>
      </c>
      <c r="O8" s="71">
        <f>N8*1.18</f>
        <v>0.06196166986155553</v>
      </c>
      <c r="P8" s="189"/>
    </row>
    <row r="9" spans="2:16" ht="12">
      <c r="B9" s="7">
        <v>8</v>
      </c>
      <c r="C9" s="8" t="s">
        <v>335</v>
      </c>
      <c r="D9" s="8" t="s">
        <v>28</v>
      </c>
      <c r="E9" s="9">
        <v>0.282</v>
      </c>
      <c r="F9" s="9">
        <v>1</v>
      </c>
      <c r="G9" s="10">
        <f>4155.6762*E9*F9</f>
        <v>1171.9006883999998</v>
      </c>
      <c r="H9" s="10">
        <f>9944.71699165*E9*F9</f>
        <v>2804.4101916453</v>
      </c>
      <c r="I9" s="10">
        <f>0*E9*F9</f>
        <v>0</v>
      </c>
      <c r="J9" s="10">
        <f>3486.6123318*E9*F9</f>
        <v>983.2246775675999</v>
      </c>
      <c r="K9" s="10">
        <f>615.54519332075*E9*F9</f>
        <v>173.58374451645147</v>
      </c>
      <c r="L9" s="10"/>
      <c r="M9" s="35">
        <f>SUM(G9:L9)</f>
        <v>5133.119302129352</v>
      </c>
      <c r="N9" s="71">
        <f t="shared" si="0"/>
        <v>1.379870780142299</v>
      </c>
      <c r="O9" s="71">
        <f>N9*1.18</f>
        <v>1.6282475205679126</v>
      </c>
      <c r="P9" s="189"/>
    </row>
    <row r="10" spans="2:16" ht="18" customHeight="1">
      <c r="B10" s="7"/>
      <c r="C10" s="63" t="s">
        <v>344</v>
      </c>
      <c r="D10" s="62"/>
      <c r="E10" s="63"/>
      <c r="F10" s="63"/>
      <c r="G10" s="64">
        <f aca="true" t="shared" si="1" ref="G10:M10">SUM(G6:G9)</f>
        <v>3083.1752484</v>
      </c>
      <c r="H10" s="64">
        <f t="shared" si="1"/>
        <v>3684.160348185</v>
      </c>
      <c r="I10" s="64">
        <f t="shared" si="1"/>
        <v>24.2140752</v>
      </c>
      <c r="J10" s="64">
        <f t="shared" si="1"/>
        <v>2594.68748187</v>
      </c>
      <c r="K10" s="64">
        <f t="shared" si="1"/>
        <v>328.518300377921</v>
      </c>
      <c r="L10" s="64">
        <f t="shared" si="1"/>
        <v>0</v>
      </c>
      <c r="M10" s="69">
        <f t="shared" si="1"/>
        <v>9714.755454032922</v>
      </c>
      <c r="N10" s="72"/>
      <c r="O10" s="72"/>
      <c r="P10" s="58"/>
    </row>
    <row r="11" spans="2:16" ht="21" customHeight="1">
      <c r="B11" s="184" t="s">
        <v>336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5"/>
      <c r="N11" s="71"/>
      <c r="O11" s="71"/>
      <c r="P11" s="58"/>
    </row>
    <row r="12" spans="2:16" ht="36">
      <c r="B12" s="7">
        <v>19</v>
      </c>
      <c r="C12" s="8" t="s">
        <v>47</v>
      </c>
      <c r="D12" s="8" t="s">
        <v>46</v>
      </c>
      <c r="E12" s="9">
        <v>0.05</v>
      </c>
      <c r="F12" s="9">
        <v>1</v>
      </c>
      <c r="G12" s="10">
        <f>13116.878775*E12*F12</f>
        <v>655.84393875</v>
      </c>
      <c r="H12" s="10">
        <f>19800.660853428*E12*F12</f>
        <v>990.0330426713999</v>
      </c>
      <c r="I12" s="10">
        <f>0*E12*F12</f>
        <v>0</v>
      </c>
      <c r="J12" s="10">
        <f>11005.061292225*E12*F12</f>
        <v>550.25306461125</v>
      </c>
      <c r="K12" s="10">
        <f>1537.2910322229*E12*F12</f>
        <v>76.864551611145</v>
      </c>
      <c r="L12" s="10"/>
      <c r="M12" s="35">
        <f>SUM(G12:L12)</f>
        <v>2272.9945976437953</v>
      </c>
      <c r="N12" s="71">
        <f t="shared" si="0"/>
        <v>0.6110200531300525</v>
      </c>
      <c r="O12" s="71">
        <f>N12*1.18</f>
        <v>0.7210036626934618</v>
      </c>
      <c r="P12" s="59">
        <f>O12</f>
        <v>0.7210036626934618</v>
      </c>
    </row>
    <row r="13" spans="2:16" ht="18.75" customHeight="1">
      <c r="B13" s="7"/>
      <c r="C13" s="63" t="s">
        <v>344</v>
      </c>
      <c r="D13" s="62"/>
      <c r="E13" s="63"/>
      <c r="F13" s="63"/>
      <c r="G13" s="64">
        <f aca="true" t="shared" si="2" ref="G13:M13">SUM(G12:G12)</f>
        <v>655.84393875</v>
      </c>
      <c r="H13" s="64">
        <f t="shared" si="2"/>
        <v>990.0330426713999</v>
      </c>
      <c r="I13" s="64">
        <f t="shared" si="2"/>
        <v>0</v>
      </c>
      <c r="J13" s="64">
        <f t="shared" si="2"/>
        <v>550.25306461125</v>
      </c>
      <c r="K13" s="64">
        <f t="shared" si="2"/>
        <v>76.864551611145</v>
      </c>
      <c r="L13" s="64">
        <f t="shared" si="2"/>
        <v>0</v>
      </c>
      <c r="M13" s="69">
        <f t="shared" si="2"/>
        <v>2272.9945976437953</v>
      </c>
      <c r="N13" s="72"/>
      <c r="O13" s="72"/>
      <c r="P13" s="58"/>
    </row>
    <row r="14" spans="2:16" ht="18.75" customHeight="1">
      <c r="B14" s="7"/>
      <c r="C14" s="194" t="s">
        <v>55</v>
      </c>
      <c r="D14" s="194"/>
      <c r="E14" s="194"/>
      <c r="F14" s="194"/>
      <c r="G14" s="194"/>
      <c r="H14" s="194"/>
      <c r="I14" s="194"/>
      <c r="J14" s="194"/>
      <c r="K14" s="194"/>
      <c r="L14" s="194"/>
      <c r="M14" s="195"/>
      <c r="N14" s="71"/>
      <c r="O14" s="71"/>
      <c r="P14" s="58"/>
    </row>
    <row r="15" spans="2:16" ht="36">
      <c r="B15" s="7">
        <v>27</v>
      </c>
      <c r="C15" s="8" t="s">
        <v>57</v>
      </c>
      <c r="D15" s="8" t="s">
        <v>46</v>
      </c>
      <c r="E15" s="9">
        <v>0.05</v>
      </c>
      <c r="F15" s="9">
        <v>1</v>
      </c>
      <c r="G15" s="10">
        <f>7926.53641*E15*F15</f>
        <v>396.3268205</v>
      </c>
      <c r="H15" s="10">
        <f>12336.9757112*E15*F15</f>
        <v>616.8487855600001</v>
      </c>
      <c r="I15" s="10">
        <f>0*E15*F15</f>
        <v>0</v>
      </c>
      <c r="J15" s="10">
        <f>6650.36404799*E15*F15</f>
        <v>332.5182023995</v>
      </c>
      <c r="K15" s="10">
        <f>941.98566592165*E15*F15</f>
        <v>47.099283296082504</v>
      </c>
      <c r="L15" s="10"/>
      <c r="M15" s="35">
        <f>SUM(G15:L15)</f>
        <v>1392.7930917555827</v>
      </c>
      <c r="N15" s="71">
        <f t="shared" si="0"/>
        <v>0.37440674509558675</v>
      </c>
      <c r="O15" s="71">
        <f>N15*1.18</f>
        <v>0.44179995921279236</v>
      </c>
      <c r="P15" s="59">
        <f>O15</f>
        <v>0.44179995921279236</v>
      </c>
    </row>
    <row r="16" spans="2:16" ht="24" customHeight="1">
      <c r="B16" s="7"/>
      <c r="C16" s="63" t="s">
        <v>344</v>
      </c>
      <c r="D16" s="62"/>
      <c r="E16" s="63"/>
      <c r="F16" s="63"/>
      <c r="G16" s="64">
        <f aca="true" t="shared" si="3" ref="G16:M16">SUM(G15:G15)</f>
        <v>396.3268205</v>
      </c>
      <c r="H16" s="64">
        <f t="shared" si="3"/>
        <v>616.8487855600001</v>
      </c>
      <c r="I16" s="64">
        <f t="shared" si="3"/>
        <v>0</v>
      </c>
      <c r="J16" s="64">
        <f t="shared" si="3"/>
        <v>332.5182023995</v>
      </c>
      <c r="K16" s="64">
        <f t="shared" si="3"/>
        <v>47.099283296082504</v>
      </c>
      <c r="L16" s="64">
        <f t="shared" si="3"/>
        <v>0</v>
      </c>
      <c r="M16" s="69">
        <f t="shared" si="3"/>
        <v>1392.7930917555827</v>
      </c>
      <c r="N16" s="72"/>
      <c r="O16" s="72"/>
      <c r="P16" s="58"/>
    </row>
    <row r="17" spans="2:16" ht="22.5" customHeight="1">
      <c r="B17" s="184" t="s">
        <v>58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5"/>
      <c r="N17" s="71"/>
      <c r="O17" s="71"/>
      <c r="P17" s="58"/>
    </row>
    <row r="18" spans="2:16" ht="18" customHeight="1">
      <c r="B18" s="7">
        <v>29</v>
      </c>
      <c r="C18" s="8" t="s">
        <v>61</v>
      </c>
      <c r="D18" s="8" t="s">
        <v>62</v>
      </c>
      <c r="E18" s="9">
        <v>0.015</v>
      </c>
      <c r="F18" s="9">
        <v>1</v>
      </c>
      <c r="G18" s="10">
        <f>22432.8*E18*F18</f>
        <v>336.49199999999996</v>
      </c>
      <c r="H18" s="10">
        <f>29909.1502362*E18*F18</f>
        <v>448.637253543</v>
      </c>
      <c r="I18" s="10">
        <f>0*E18*F18</f>
        <v>0</v>
      </c>
      <c r="J18" s="10">
        <f>18821.1192*E18*F18</f>
        <v>282.31678800000003</v>
      </c>
      <c r="K18" s="10">
        <f>2490.707430267*E18*F18</f>
        <v>37.360611454004996</v>
      </c>
      <c r="L18" s="10"/>
      <c r="M18" s="35">
        <f>SUM(G18:L18)</f>
        <v>1104.8066529970051</v>
      </c>
      <c r="N18" s="71">
        <f t="shared" si="0"/>
        <v>0.2969910357518831</v>
      </c>
      <c r="O18" s="71">
        <f>N18*1.18</f>
        <v>0.3504494221872221</v>
      </c>
      <c r="P18" s="59">
        <f>O18</f>
        <v>0.3504494221872221</v>
      </c>
    </row>
    <row r="19" spans="2:16" ht="18.75" customHeight="1">
      <c r="B19" s="7"/>
      <c r="C19" s="63" t="s">
        <v>344</v>
      </c>
      <c r="D19" s="62"/>
      <c r="E19" s="63"/>
      <c r="F19" s="63"/>
      <c r="G19" s="64">
        <f aca="true" t="shared" si="4" ref="G19:M19">SUM(G18:G18)</f>
        <v>336.49199999999996</v>
      </c>
      <c r="H19" s="64">
        <f t="shared" si="4"/>
        <v>448.637253543</v>
      </c>
      <c r="I19" s="64">
        <f t="shared" si="4"/>
        <v>0</v>
      </c>
      <c r="J19" s="64">
        <f t="shared" si="4"/>
        <v>282.31678800000003</v>
      </c>
      <c r="K19" s="64">
        <f t="shared" si="4"/>
        <v>37.360611454004996</v>
      </c>
      <c r="L19" s="64">
        <f t="shared" si="4"/>
        <v>0</v>
      </c>
      <c r="M19" s="69">
        <f t="shared" si="4"/>
        <v>1104.8066529970051</v>
      </c>
      <c r="N19" s="72"/>
      <c r="O19" s="72"/>
      <c r="P19" s="58"/>
    </row>
    <row r="20" spans="2:16" ht="12">
      <c r="B20" s="7"/>
      <c r="C20" s="8"/>
      <c r="D20" s="8"/>
      <c r="E20" s="9"/>
      <c r="F20" s="9"/>
      <c r="G20" s="10"/>
      <c r="H20" s="10"/>
      <c r="I20" s="10"/>
      <c r="J20" s="10"/>
      <c r="K20" s="10"/>
      <c r="L20" s="10"/>
      <c r="M20" s="35"/>
      <c r="N20" s="71"/>
      <c r="O20" s="71"/>
      <c r="P20" s="58"/>
    </row>
    <row r="21" spans="2:16" ht="21" customHeight="1">
      <c r="B21" s="184" t="s">
        <v>65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5"/>
      <c r="N21" s="71"/>
      <c r="O21" s="71"/>
      <c r="P21" s="58"/>
    </row>
    <row r="22" spans="2:16" ht="24">
      <c r="B22" s="7">
        <v>32</v>
      </c>
      <c r="C22" s="8" t="s">
        <v>68</v>
      </c>
      <c r="D22" s="8" t="s">
        <v>69</v>
      </c>
      <c r="E22" s="9">
        <v>0.31</v>
      </c>
      <c r="F22" s="9">
        <v>2</v>
      </c>
      <c r="G22" s="10">
        <f>47.97*E22*F22</f>
        <v>29.7414</v>
      </c>
      <c r="H22" s="10">
        <f>0*E22*F22</f>
        <v>0</v>
      </c>
      <c r="I22" s="10">
        <f>0*E22*F22</f>
        <v>0</v>
      </c>
      <c r="J22" s="10">
        <f>40.24683*E22*F22</f>
        <v>24.953034600000002</v>
      </c>
      <c r="K22" s="10">
        <f>3.08758905*E22*F22</f>
        <v>1.914305211</v>
      </c>
      <c r="L22" s="10"/>
      <c r="M22" s="35">
        <f>SUM(G22:L22)</f>
        <v>56.608739811</v>
      </c>
      <c r="N22" s="71">
        <f t="shared" si="0"/>
        <v>0.015217403175000001</v>
      </c>
      <c r="O22" s="71">
        <f>N22*1.18</f>
        <v>0.0179565357465</v>
      </c>
      <c r="P22" s="188">
        <f>SUM(O22:O24)</f>
        <v>0.6847131182139824</v>
      </c>
    </row>
    <row r="23" spans="2:16" ht="24">
      <c r="B23" s="7">
        <v>33</v>
      </c>
      <c r="C23" s="8" t="s">
        <v>70</v>
      </c>
      <c r="D23" s="8" t="s">
        <v>69</v>
      </c>
      <c r="E23" s="9">
        <v>0.31</v>
      </c>
      <c r="F23" s="9">
        <v>2</v>
      </c>
      <c r="G23" s="10">
        <f>382.53*E23*F23</f>
        <v>237.16859999999997</v>
      </c>
      <c r="H23" s="10">
        <f>0*E23*F23</f>
        <v>0</v>
      </c>
      <c r="I23" s="10">
        <f>0*E23*F23</f>
        <v>0</v>
      </c>
      <c r="J23" s="10">
        <f>320.94267*E23*F23</f>
        <v>198.9844554</v>
      </c>
      <c r="K23" s="10">
        <f>24.62154345*E23*F23</f>
        <v>15.265356939</v>
      </c>
      <c r="L23" s="10"/>
      <c r="M23" s="35">
        <f>SUM(G23:L23)</f>
        <v>451.418412339</v>
      </c>
      <c r="N23" s="71">
        <f t="shared" si="0"/>
        <v>0.121349035575</v>
      </c>
      <c r="O23" s="71">
        <f>N23*1.18</f>
        <v>0.14319186197849998</v>
      </c>
      <c r="P23" s="189"/>
    </row>
    <row r="24" spans="2:16" ht="36">
      <c r="B24" s="7">
        <v>36</v>
      </c>
      <c r="C24" s="8" t="s">
        <v>75</v>
      </c>
      <c r="D24" s="8" t="s">
        <v>76</v>
      </c>
      <c r="E24" s="9">
        <v>0.1</v>
      </c>
      <c r="F24" s="9">
        <v>2</v>
      </c>
      <c r="G24" s="10">
        <f>3942.5646*E24*F24</f>
        <v>788.5129200000001</v>
      </c>
      <c r="H24" s="10">
        <f>723.3433445*E24*F24</f>
        <v>144.6686689</v>
      </c>
      <c r="I24" s="10">
        <f>0*E24*F24</f>
        <v>0</v>
      </c>
      <c r="J24" s="10">
        <f>3307.8116994*E24*F24</f>
        <v>661.5623398800001</v>
      </c>
      <c r="K24" s="10">
        <f>279.0801875365*E24*F24</f>
        <v>55.816037507299995</v>
      </c>
      <c r="L24" s="10"/>
      <c r="M24" s="35">
        <f>SUM(G24:L24)</f>
        <v>1650.5599662873003</v>
      </c>
      <c r="N24" s="71">
        <f t="shared" si="0"/>
        <v>0.4436989156686291</v>
      </c>
      <c r="O24" s="71">
        <f>N24*1.18</f>
        <v>0.5235647204889824</v>
      </c>
      <c r="P24" s="189"/>
    </row>
    <row r="25" spans="2:16" ht="21.75" customHeight="1">
      <c r="B25" s="7"/>
      <c r="C25" s="24" t="s">
        <v>344</v>
      </c>
      <c r="D25" s="62"/>
      <c r="E25" s="63"/>
      <c r="F25" s="63"/>
      <c r="G25" s="64">
        <f aca="true" t="shared" si="5" ref="G25:M25">SUM(G22:G24)</f>
        <v>1055.42292</v>
      </c>
      <c r="H25" s="64">
        <f t="shared" si="5"/>
        <v>144.6686689</v>
      </c>
      <c r="I25" s="64">
        <f t="shared" si="5"/>
        <v>0</v>
      </c>
      <c r="J25" s="64">
        <f t="shared" si="5"/>
        <v>885.4998298800001</v>
      </c>
      <c r="K25" s="64">
        <f t="shared" si="5"/>
        <v>72.9956996573</v>
      </c>
      <c r="L25" s="64">
        <f t="shared" si="5"/>
        <v>0</v>
      </c>
      <c r="M25" s="69">
        <f t="shared" si="5"/>
        <v>2158.5871184373004</v>
      </c>
      <c r="N25" s="72"/>
      <c r="O25" s="72"/>
      <c r="P25" s="58"/>
    </row>
    <row r="26" spans="2:16" ht="18.75" customHeight="1">
      <c r="B26" s="184" t="s">
        <v>106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5"/>
      <c r="N26" s="71"/>
      <c r="O26" s="71"/>
      <c r="P26" s="58"/>
    </row>
    <row r="27" spans="2:16" ht="60">
      <c r="B27" s="7">
        <v>53</v>
      </c>
      <c r="C27" s="8" t="s">
        <v>107</v>
      </c>
      <c r="D27" s="8" t="s">
        <v>108</v>
      </c>
      <c r="E27" s="111">
        <v>0.31</v>
      </c>
      <c r="F27" s="9">
        <v>3</v>
      </c>
      <c r="G27" s="10">
        <f>1113.829014*E27*F27</f>
        <v>1035.8609830199998</v>
      </c>
      <c r="H27" s="10">
        <f>0*E27*F27</f>
        <v>0</v>
      </c>
      <c r="I27" s="10">
        <f>0*E27*F27</f>
        <v>0</v>
      </c>
      <c r="J27" s="10">
        <f>934.502542746*E27*F27</f>
        <v>869.0873647537801</v>
      </c>
      <c r="K27" s="10">
        <f>71.69160448611*E27*F27</f>
        <v>66.6731921720823</v>
      </c>
      <c r="L27" s="10"/>
      <c r="M27" s="35">
        <f>SUM(G27:L27)</f>
        <v>1971.6215399458622</v>
      </c>
      <c r="N27" s="71">
        <f t="shared" si="0"/>
        <v>0.5300057903080274</v>
      </c>
      <c r="O27" s="71">
        <f>N27*1.18</f>
        <v>0.6254068325634723</v>
      </c>
      <c r="P27" s="59">
        <f>O27</f>
        <v>0.6254068325634723</v>
      </c>
    </row>
    <row r="28" spans="2:16" ht="20.25" customHeight="1">
      <c r="B28" s="7"/>
      <c r="C28" s="63" t="s">
        <v>344</v>
      </c>
      <c r="D28" s="62"/>
      <c r="E28" s="63"/>
      <c r="F28" s="63"/>
      <c r="G28" s="64">
        <f aca="true" t="shared" si="6" ref="G28:M28">SUM(G27)</f>
        <v>1035.8609830199998</v>
      </c>
      <c r="H28" s="64">
        <f t="shared" si="6"/>
        <v>0</v>
      </c>
      <c r="I28" s="64">
        <f t="shared" si="6"/>
        <v>0</v>
      </c>
      <c r="J28" s="64">
        <f t="shared" si="6"/>
        <v>869.0873647537801</v>
      </c>
      <c r="K28" s="64">
        <f t="shared" si="6"/>
        <v>66.6731921720823</v>
      </c>
      <c r="L28" s="64">
        <f t="shared" si="6"/>
        <v>0</v>
      </c>
      <c r="M28" s="69">
        <f t="shared" si="6"/>
        <v>1971.6215399458622</v>
      </c>
      <c r="N28" s="72"/>
      <c r="O28" s="72"/>
      <c r="P28" s="58"/>
    </row>
    <row r="29" spans="2:16" ht="18.75" customHeight="1">
      <c r="B29" s="7"/>
      <c r="C29" s="194" t="s">
        <v>117</v>
      </c>
      <c r="D29" s="194"/>
      <c r="E29" s="194"/>
      <c r="F29" s="194"/>
      <c r="G29" s="194"/>
      <c r="H29" s="194"/>
      <c r="I29" s="194"/>
      <c r="J29" s="194"/>
      <c r="K29" s="194"/>
      <c r="L29" s="194"/>
      <c r="M29" s="195"/>
      <c r="N29" s="71"/>
      <c r="O29" s="71"/>
      <c r="P29" s="58"/>
    </row>
    <row r="30" spans="2:16" ht="24">
      <c r="B30" s="7">
        <v>59</v>
      </c>
      <c r="C30" s="8" t="s">
        <v>118</v>
      </c>
      <c r="D30" s="8" t="s">
        <v>119</v>
      </c>
      <c r="E30" s="9">
        <v>0.02</v>
      </c>
      <c r="F30" s="9">
        <v>144</v>
      </c>
      <c r="G30" s="10">
        <f>79.1749*E30*F30</f>
        <v>228.023712</v>
      </c>
      <c r="H30" s="10">
        <f>3.432912*E30*F30</f>
        <v>9.88678656</v>
      </c>
      <c r="I30" s="10">
        <f>0*E30*F30</f>
        <v>0</v>
      </c>
      <c r="J30" s="10">
        <f>66.4277411*E30*F30</f>
        <v>191.31189436800003</v>
      </c>
      <c r="K30" s="10">
        <f>5.2162443585*E30*F30</f>
        <v>15.02278375248</v>
      </c>
      <c r="L30" s="10"/>
      <c r="M30" s="35">
        <f>SUM(G30:L30)</f>
        <v>444.24517668048</v>
      </c>
      <c r="N30" s="71">
        <f t="shared" si="0"/>
        <v>0.11942074641948386</v>
      </c>
      <c r="O30" s="71">
        <f>N30*1.18</f>
        <v>0.14091648077499094</v>
      </c>
      <c r="P30" s="188">
        <f>SUM(O30:O34)</f>
        <v>1.6951062700928363</v>
      </c>
    </row>
    <row r="31" spans="2:16" ht="24">
      <c r="B31" s="7">
        <v>62</v>
      </c>
      <c r="C31" s="8" t="s">
        <v>122</v>
      </c>
      <c r="D31" s="8" t="s">
        <v>119</v>
      </c>
      <c r="E31" s="9">
        <v>0.01</v>
      </c>
      <c r="F31" s="9">
        <v>144</v>
      </c>
      <c r="G31" s="10">
        <f>108.9399*E31*F31</f>
        <v>156.873456</v>
      </c>
      <c r="H31" s="10">
        <f>4.480945*E31*F31</f>
        <v>6.4525608000000005</v>
      </c>
      <c r="I31" s="10">
        <f>0*E31*F31</f>
        <v>0</v>
      </c>
      <c r="J31" s="10">
        <f>91.4005761*E31*F31</f>
        <v>131.616829584</v>
      </c>
      <c r="K31" s="10">
        <f>7.1687497385*E31*F31</f>
        <v>10.322999623440001</v>
      </c>
      <c r="L31" s="10"/>
      <c r="M31" s="35">
        <f>SUM(G31:L31)</f>
        <v>305.26584600743996</v>
      </c>
      <c r="N31" s="71">
        <f t="shared" si="0"/>
        <v>0.08206071129232256</v>
      </c>
      <c r="O31" s="71">
        <f>N31*1.18</f>
        <v>0.09683163932494061</v>
      </c>
      <c r="P31" s="189"/>
    </row>
    <row r="32" spans="2:16" ht="14.25" customHeight="1">
      <c r="B32" s="7">
        <v>65</v>
      </c>
      <c r="C32" s="8" t="s">
        <v>126</v>
      </c>
      <c r="D32" s="8" t="s">
        <v>127</v>
      </c>
      <c r="E32" s="9">
        <v>0.5</v>
      </c>
      <c r="F32" s="9">
        <v>3</v>
      </c>
      <c r="G32" s="10">
        <f>109.92072*E32*F32</f>
        <v>164.88108</v>
      </c>
      <c r="H32" s="10">
        <f>72.99124896*E32*F32</f>
        <v>109.48687343999998</v>
      </c>
      <c r="I32" s="10">
        <f>65.2428*E32*F32</f>
        <v>97.86420000000001</v>
      </c>
      <c r="J32" s="10">
        <f>92.22348408*E32*F32</f>
        <v>138.33522612000002</v>
      </c>
      <c r="K32" s="10">
        <f>11.9132388564*E32*F32</f>
        <v>17.8698582846</v>
      </c>
      <c r="L32" s="10"/>
      <c r="M32" s="35">
        <f>SUM(G32:L32)</f>
        <v>528.4372378446</v>
      </c>
      <c r="N32" s="71">
        <f t="shared" si="0"/>
        <v>0.14205302092596772</v>
      </c>
      <c r="O32" s="71">
        <f>N32*1.18</f>
        <v>0.1676225646926419</v>
      </c>
      <c r="P32" s="189"/>
    </row>
    <row r="33" spans="2:16" ht="14.25" customHeight="1">
      <c r="B33" s="7">
        <v>66</v>
      </c>
      <c r="C33" s="8" t="s">
        <v>128</v>
      </c>
      <c r="D33" s="8" t="s">
        <v>129</v>
      </c>
      <c r="E33" s="9">
        <v>0.01</v>
      </c>
      <c r="F33" s="9">
        <v>1</v>
      </c>
      <c r="G33" s="10">
        <f>16477.8263*E33*F33</f>
        <v>164.778263</v>
      </c>
      <c r="H33" s="10">
        <f>0*E33*F33</f>
        <v>0</v>
      </c>
      <c r="I33" s="10">
        <f>176562.1368*E33*F33</f>
        <v>1765.621368</v>
      </c>
      <c r="J33" s="10">
        <f>41418.8327077*E33*F33</f>
        <v>414.188327077</v>
      </c>
      <c r="K33" s="10">
        <f>8206.0578532695*E33*F33</f>
        <v>82.060578532695</v>
      </c>
      <c r="L33" s="10"/>
      <c r="M33" s="35">
        <f>SUM(G33:L33)</f>
        <v>2426.6485366096954</v>
      </c>
      <c r="N33" s="71">
        <f t="shared" si="0"/>
        <v>0.6523248754327138</v>
      </c>
      <c r="O33" s="71">
        <f>N33*1.18</f>
        <v>0.7697433530106023</v>
      </c>
      <c r="P33" s="189"/>
    </row>
    <row r="34" spans="2:16" ht="14.25" customHeight="1">
      <c r="B34" s="7">
        <v>69</v>
      </c>
      <c r="C34" s="8" t="s">
        <v>134</v>
      </c>
      <c r="D34" s="8" t="s">
        <v>127</v>
      </c>
      <c r="E34" s="9">
        <v>0.02</v>
      </c>
      <c r="F34" s="9">
        <v>296</v>
      </c>
      <c r="G34" s="10">
        <f>144.6579*E34*F34</f>
        <v>856.374768</v>
      </c>
      <c r="H34" s="10">
        <f>1.51844*E34*F34</f>
        <v>8.989164800000001</v>
      </c>
      <c r="I34" s="10">
        <f>0*E34*F34</f>
        <v>0</v>
      </c>
      <c r="J34" s="10">
        <f>121.3679781*E34*F34</f>
        <v>718.498430352</v>
      </c>
      <c r="K34" s="10">
        <f>9.3640511335*E34*F34</f>
        <v>55.43518271032001</v>
      </c>
      <c r="L34" s="10"/>
      <c r="M34" s="35">
        <f>SUM(G34:L34)</f>
        <v>1639.29754586232</v>
      </c>
      <c r="N34" s="71">
        <f t="shared" si="0"/>
        <v>0.44067138329632255</v>
      </c>
      <c r="O34" s="71">
        <f>N34*1.18</f>
        <v>0.5199922322896606</v>
      </c>
      <c r="P34" s="189"/>
    </row>
    <row r="35" spans="2:16" ht="24.75" customHeight="1">
      <c r="B35" s="7"/>
      <c r="C35" s="63" t="s">
        <v>344</v>
      </c>
      <c r="D35" s="62"/>
      <c r="E35" s="63"/>
      <c r="F35" s="63"/>
      <c r="G35" s="64">
        <f aca="true" t="shared" si="7" ref="G35:M35">SUM(G30:G34)</f>
        <v>1570.931279</v>
      </c>
      <c r="H35" s="64">
        <f t="shared" si="7"/>
        <v>134.81538559999998</v>
      </c>
      <c r="I35" s="64">
        <f t="shared" si="7"/>
        <v>1863.485568</v>
      </c>
      <c r="J35" s="64">
        <f t="shared" si="7"/>
        <v>1593.9507075010001</v>
      </c>
      <c r="K35" s="64">
        <f t="shared" si="7"/>
        <v>180.71140290353503</v>
      </c>
      <c r="L35" s="64">
        <f t="shared" si="7"/>
        <v>0</v>
      </c>
      <c r="M35" s="69">
        <f t="shared" si="7"/>
        <v>5343.894343004535</v>
      </c>
      <c r="N35" s="72"/>
      <c r="O35" s="72"/>
      <c r="P35" s="58"/>
    </row>
    <row r="36" spans="2:16" ht="15">
      <c r="B36" s="7"/>
      <c r="C36" s="101" t="s">
        <v>343</v>
      </c>
      <c r="D36" s="8"/>
      <c r="E36" s="9"/>
      <c r="F36" s="9"/>
      <c r="G36" s="10"/>
      <c r="H36" s="10"/>
      <c r="I36" s="10"/>
      <c r="J36" s="10"/>
      <c r="K36" s="10"/>
      <c r="L36" s="10"/>
      <c r="M36" s="35"/>
      <c r="N36" s="71"/>
      <c r="O36" s="71"/>
      <c r="P36" s="58"/>
    </row>
    <row r="37" spans="2:16" ht="18" customHeight="1">
      <c r="B37" s="7"/>
      <c r="C37" s="8" t="s">
        <v>135</v>
      </c>
      <c r="D37" s="8"/>
      <c r="E37" s="9"/>
      <c r="F37" s="9"/>
      <c r="G37" s="10"/>
      <c r="H37" s="10"/>
      <c r="I37" s="10"/>
      <c r="J37" s="10"/>
      <c r="K37" s="10"/>
      <c r="L37" s="10"/>
      <c r="M37" s="35">
        <f>1.36*310*12/1.18</f>
        <v>4287.457627118645</v>
      </c>
      <c r="N37" s="71">
        <f t="shared" si="0"/>
        <v>1.1525423728813562</v>
      </c>
      <c r="O37" s="71">
        <f>N37*1.18</f>
        <v>1.3600000000000003</v>
      </c>
      <c r="P37" s="59">
        <f>O37</f>
        <v>1.3600000000000003</v>
      </c>
    </row>
    <row r="38" spans="2:16" ht="18" customHeight="1" thickBot="1">
      <c r="B38" s="29"/>
      <c r="C38" s="56" t="s">
        <v>339</v>
      </c>
      <c r="D38" s="30"/>
      <c r="E38" s="31"/>
      <c r="F38" s="31"/>
      <c r="G38" s="32"/>
      <c r="H38" s="32"/>
      <c r="I38" s="32"/>
      <c r="J38" s="32"/>
      <c r="K38" s="32"/>
      <c r="L38" s="32"/>
      <c r="M38" s="33">
        <f>N38*12*310</f>
        <v>2046.0000000000002</v>
      </c>
      <c r="N38" s="80">
        <v>0.55</v>
      </c>
      <c r="O38" s="80">
        <f>N38*1.18</f>
        <v>0.649</v>
      </c>
      <c r="P38" s="60">
        <f>O38</f>
        <v>0.649</v>
      </c>
    </row>
    <row r="39" spans="2:16" ht="24" customHeight="1" thickBot="1">
      <c r="B39" s="44"/>
      <c r="C39" s="45" t="s">
        <v>139</v>
      </c>
      <c r="D39" s="46"/>
      <c r="E39" s="46"/>
      <c r="F39" s="47"/>
      <c r="G39" s="48">
        <f aca="true" t="shared" si="8" ref="G39:L39">G35+G28+G25+G19+G16+G13+G10</f>
        <v>8134.05318967</v>
      </c>
      <c r="H39" s="48">
        <f t="shared" si="8"/>
        <v>6019.163484459401</v>
      </c>
      <c r="I39" s="48">
        <f t="shared" si="8"/>
        <v>1887.6996432</v>
      </c>
      <c r="J39" s="48">
        <f t="shared" si="8"/>
        <v>7108.31343901553</v>
      </c>
      <c r="K39" s="48">
        <f t="shared" si="8"/>
        <v>810.2230414720707</v>
      </c>
      <c r="L39" s="48">
        <f t="shared" si="8"/>
        <v>0</v>
      </c>
      <c r="M39" s="49">
        <f>M35+M28+M25+M19+M16+M13+M10+M37+M38</f>
        <v>30292.910424935646</v>
      </c>
      <c r="N39" s="113">
        <f>SUM(N6:N38)</f>
        <v>8.143255490574099</v>
      </c>
      <c r="O39" s="61">
        <f>SUM(O6:O38)</f>
        <v>9.609041478877437</v>
      </c>
      <c r="P39" s="61">
        <f>SUM(P6:P38)</f>
        <v>9.609041478877437</v>
      </c>
    </row>
    <row r="41" spans="12:13" ht="12">
      <c r="L41" s="1">
        <f>L39/12/310</f>
        <v>0</v>
      </c>
      <c r="M41" s="54">
        <f>M39/12/310</f>
        <v>8.143255490574099</v>
      </c>
    </row>
    <row r="43" spans="4:11" ht="19.5">
      <c r="D43" s="192" t="s">
        <v>140</v>
      </c>
      <c r="E43" s="192"/>
      <c r="F43" s="192"/>
      <c r="G43" s="192"/>
      <c r="H43" s="192"/>
      <c r="I43" s="192"/>
      <c r="J43" s="192"/>
      <c r="K43" s="192"/>
    </row>
    <row r="44" spans="4:11" ht="15.75">
      <c r="D44" s="13" t="s">
        <v>141</v>
      </c>
      <c r="E44" s="186">
        <f>G39</f>
        <v>8134.05318967</v>
      </c>
      <c r="F44" s="186"/>
      <c r="G44" s="14"/>
      <c r="H44" s="14"/>
      <c r="I44" s="13" t="s">
        <v>142</v>
      </c>
      <c r="J44" s="186">
        <f>J39</f>
        <v>7108.31343901553</v>
      </c>
      <c r="K44" s="186"/>
    </row>
    <row r="45" spans="4:11" ht="15.75">
      <c r="D45" s="13" t="s">
        <v>143</v>
      </c>
      <c r="E45" s="186">
        <f>H39</f>
        <v>6019.163484459401</v>
      </c>
      <c r="F45" s="186"/>
      <c r="G45" s="14"/>
      <c r="H45" s="14"/>
      <c r="I45" s="13" t="s">
        <v>144</v>
      </c>
      <c r="J45" s="186">
        <f>K39</f>
        <v>810.2230414720707</v>
      </c>
      <c r="K45" s="186"/>
    </row>
    <row r="46" spans="4:11" ht="15.75">
      <c r="D46" s="13" t="s">
        <v>145</v>
      </c>
      <c r="E46" s="186">
        <f>I39</f>
        <v>1887.6996432</v>
      </c>
      <c r="F46" s="186"/>
      <c r="G46" s="14"/>
      <c r="H46" s="14"/>
      <c r="I46" s="13" t="s">
        <v>146</v>
      </c>
      <c r="J46" s="186">
        <f>L39</f>
        <v>0</v>
      </c>
      <c r="K46" s="186"/>
    </row>
    <row r="47" spans="4:11" ht="15.75">
      <c r="D47" s="13"/>
      <c r="E47" s="14"/>
      <c r="F47" s="14"/>
      <c r="G47" s="14"/>
      <c r="H47" s="14"/>
      <c r="I47" s="13" t="s">
        <v>147</v>
      </c>
      <c r="J47" s="186">
        <f>M39</f>
        <v>30292.910424935646</v>
      </c>
      <c r="K47" s="186"/>
    </row>
  </sheetData>
  <sheetProtection selectLockedCells="1" selectUnlockedCells="1"/>
  <mergeCells count="20">
    <mergeCell ref="C14:M14"/>
    <mergeCell ref="B17:M17"/>
    <mergeCell ref="B1:M1"/>
    <mergeCell ref="B4:M4"/>
    <mergeCell ref="B5:M5"/>
    <mergeCell ref="B11:M11"/>
    <mergeCell ref="J47:K47"/>
    <mergeCell ref="P6:P9"/>
    <mergeCell ref="P22:P24"/>
    <mergeCell ref="P30:P34"/>
    <mergeCell ref="B21:M21"/>
    <mergeCell ref="B26:M26"/>
    <mergeCell ref="C29:M29"/>
    <mergeCell ref="D43:K43"/>
    <mergeCell ref="E44:F44"/>
    <mergeCell ref="J44:K44"/>
    <mergeCell ref="E45:F45"/>
    <mergeCell ref="J45:K45"/>
    <mergeCell ref="E46:F46"/>
    <mergeCell ref="J46:K46"/>
  </mergeCells>
  <printOptions/>
  <pageMargins left="0.35" right="0.35" top="0.35" bottom="0.35" header="0.5118055555555555" footer="0.3"/>
  <pageSetup fitToHeight="0" fitToWidth="1" horizontalDpi="300" verticalDpi="300" orientation="landscape" paperSize="9" scale="70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6"/>
  <sheetViews>
    <sheetView zoomScale="89" zoomScaleNormal="89" zoomScalePageLayoutView="0" workbookViewId="0" topLeftCell="B1">
      <selection activeCell="C37" sqref="C37"/>
    </sheetView>
  </sheetViews>
  <sheetFormatPr defaultColWidth="9.140625" defaultRowHeight="12"/>
  <cols>
    <col min="1" max="1" width="0" style="1" hidden="1" customWidth="1"/>
    <col min="2" max="2" width="7.00390625" style="1" customWidth="1"/>
    <col min="3" max="3" width="60.00390625" style="1" customWidth="1"/>
    <col min="4" max="4" width="13.00390625" style="1" customWidth="1"/>
    <col min="5" max="5" width="11.00390625" style="1" customWidth="1"/>
    <col min="6" max="6" width="13.00390625" style="1" customWidth="1"/>
    <col min="7" max="7" width="15.00390625" style="1" customWidth="1"/>
  </cols>
  <sheetData>
    <row r="1" spans="2:7" ht="27.75" customHeight="1">
      <c r="B1" s="193" t="s">
        <v>148</v>
      </c>
      <c r="C1" s="193"/>
      <c r="D1" s="193"/>
      <c r="E1" s="193"/>
      <c r="F1" s="193"/>
      <c r="G1" s="193"/>
    </row>
    <row r="3" spans="1:7" ht="27">
      <c r="A3" s="2"/>
      <c r="B3" s="4" t="s">
        <v>1</v>
      </c>
      <c r="C3" s="4" t="s">
        <v>149</v>
      </c>
      <c r="D3" s="5" t="s">
        <v>150</v>
      </c>
      <c r="E3" s="5" t="s">
        <v>4</v>
      </c>
      <c r="F3" s="5" t="s">
        <v>151</v>
      </c>
      <c r="G3" s="6" t="s">
        <v>12</v>
      </c>
    </row>
    <row r="4" spans="2:7" ht="12.75" customHeight="1">
      <c r="B4" s="183" t="s">
        <v>152</v>
      </c>
      <c r="C4" s="183"/>
      <c r="D4" s="183"/>
      <c r="E4" s="183"/>
      <c r="F4" s="183"/>
      <c r="G4" s="183"/>
    </row>
    <row r="5" spans="2:7" ht="12">
      <c r="B5" s="15">
        <v>1</v>
      </c>
      <c r="C5" s="16" t="s">
        <v>153</v>
      </c>
      <c r="D5" s="16" t="s">
        <v>154</v>
      </c>
      <c r="E5" s="17">
        <v>0.776</v>
      </c>
      <c r="F5" s="18">
        <v>93.47</v>
      </c>
      <c r="G5" s="19">
        <f aca="true" t="shared" si="0" ref="G5:G46">E5*F5</f>
        <v>72.53272</v>
      </c>
    </row>
    <row r="6" spans="2:7" ht="12">
      <c r="B6" s="7">
        <v>2</v>
      </c>
      <c r="C6" s="8" t="s">
        <v>155</v>
      </c>
      <c r="D6" s="8" t="s">
        <v>154</v>
      </c>
      <c r="E6" s="20">
        <v>1.552</v>
      </c>
      <c r="F6" s="10">
        <v>100.94760000000002</v>
      </c>
      <c r="G6" s="11">
        <f t="shared" si="0"/>
        <v>156.67067520000003</v>
      </c>
    </row>
    <row r="7" spans="2:7" ht="12">
      <c r="B7" s="7">
        <v>3</v>
      </c>
      <c r="C7" s="8" t="s">
        <v>156</v>
      </c>
      <c r="D7" s="8" t="s">
        <v>154</v>
      </c>
      <c r="E7" s="20">
        <v>2.328</v>
      </c>
      <c r="F7" s="10">
        <v>112.164</v>
      </c>
      <c r="G7" s="11">
        <f t="shared" si="0"/>
        <v>261.117792</v>
      </c>
    </row>
    <row r="8" spans="2:7" ht="12">
      <c r="B8" s="7">
        <v>4</v>
      </c>
      <c r="C8" s="8" t="s">
        <v>157</v>
      </c>
      <c r="D8" s="8" t="s">
        <v>154</v>
      </c>
      <c r="E8" s="20">
        <v>0.776</v>
      </c>
      <c r="F8" s="10">
        <v>126.18450000000001</v>
      </c>
      <c r="G8" s="11">
        <f t="shared" si="0"/>
        <v>97.91917200000002</v>
      </c>
    </row>
    <row r="9" spans="2:7" ht="12">
      <c r="B9" s="7">
        <v>5</v>
      </c>
      <c r="C9" s="8" t="s">
        <v>158</v>
      </c>
      <c r="D9" s="8" t="s">
        <v>154</v>
      </c>
      <c r="E9" s="20">
        <v>749.8432</v>
      </c>
      <c r="F9" s="21">
        <v>59.53</v>
      </c>
      <c r="G9" s="11">
        <f t="shared" si="0"/>
        <v>44638.165696000004</v>
      </c>
    </row>
    <row r="10" spans="2:7" ht="12">
      <c r="B10" s="7">
        <v>6</v>
      </c>
      <c r="C10" s="8" t="s">
        <v>159</v>
      </c>
      <c r="D10" s="8" t="s">
        <v>154</v>
      </c>
      <c r="E10" s="20">
        <v>35.1</v>
      </c>
      <c r="F10" s="10">
        <v>112.164</v>
      </c>
      <c r="G10" s="11">
        <f t="shared" si="0"/>
        <v>3936.9564</v>
      </c>
    </row>
    <row r="11" spans="2:7" ht="12">
      <c r="B11" s="7">
        <v>7</v>
      </c>
      <c r="C11" s="8" t="s">
        <v>160</v>
      </c>
      <c r="D11" s="8" t="s">
        <v>154</v>
      </c>
      <c r="E11" s="20">
        <v>10.32</v>
      </c>
      <c r="F11" s="10">
        <v>100.94760000000002</v>
      </c>
      <c r="G11" s="11">
        <f t="shared" si="0"/>
        <v>1041.7792320000003</v>
      </c>
    </row>
    <row r="12" spans="2:7" ht="12">
      <c r="B12" s="7">
        <v>8</v>
      </c>
      <c r="C12" s="8" t="s">
        <v>161</v>
      </c>
      <c r="D12" s="8" t="s">
        <v>154</v>
      </c>
      <c r="E12" s="20">
        <v>10.32</v>
      </c>
      <c r="F12" s="10">
        <v>112.164</v>
      </c>
      <c r="G12" s="11">
        <f t="shared" si="0"/>
        <v>1157.53248</v>
      </c>
    </row>
    <row r="13" spans="2:7" ht="12">
      <c r="B13" s="7">
        <v>9</v>
      </c>
      <c r="C13" s="8" t="s">
        <v>162</v>
      </c>
      <c r="D13" s="8" t="s">
        <v>154</v>
      </c>
      <c r="E13" s="20">
        <v>30.093</v>
      </c>
      <c r="F13" s="21">
        <v>123</v>
      </c>
      <c r="G13" s="11">
        <f t="shared" si="0"/>
        <v>3701.439</v>
      </c>
    </row>
    <row r="14" spans="2:7" ht="12">
      <c r="B14" s="7">
        <v>10</v>
      </c>
      <c r="C14" s="8" t="s">
        <v>163</v>
      </c>
      <c r="D14" s="8" t="s">
        <v>154</v>
      </c>
      <c r="E14" s="20">
        <v>7.9325</v>
      </c>
      <c r="F14" s="10">
        <v>126.18450000000001</v>
      </c>
      <c r="G14" s="11">
        <f t="shared" si="0"/>
        <v>1000.9585462500002</v>
      </c>
    </row>
    <row r="15" spans="2:7" ht="12">
      <c r="B15" s="7">
        <v>11</v>
      </c>
      <c r="C15" s="8" t="s">
        <v>164</v>
      </c>
      <c r="D15" s="8" t="s">
        <v>154</v>
      </c>
      <c r="E15" s="20">
        <v>71.325</v>
      </c>
      <c r="F15" s="10">
        <v>143.9438</v>
      </c>
      <c r="G15" s="11">
        <f t="shared" si="0"/>
        <v>10266.791535</v>
      </c>
    </row>
    <row r="16" spans="2:7" ht="12">
      <c r="B16" s="7">
        <v>12</v>
      </c>
      <c r="C16" s="8" t="s">
        <v>165</v>
      </c>
      <c r="D16" s="8" t="s">
        <v>154</v>
      </c>
      <c r="E16" s="20">
        <v>0.6</v>
      </c>
      <c r="F16" s="10">
        <v>112.164</v>
      </c>
      <c r="G16" s="11">
        <f t="shared" si="0"/>
        <v>67.2984</v>
      </c>
    </row>
    <row r="17" spans="2:7" ht="24">
      <c r="B17" s="7">
        <v>13</v>
      </c>
      <c r="C17" s="8" t="s">
        <v>166</v>
      </c>
      <c r="D17" s="8" t="s">
        <v>154</v>
      </c>
      <c r="E17" s="20">
        <v>23.4</v>
      </c>
      <c r="F17" s="10">
        <v>100.94760000000002</v>
      </c>
      <c r="G17" s="11">
        <f t="shared" si="0"/>
        <v>2362.1738400000004</v>
      </c>
    </row>
    <row r="18" spans="2:7" ht="24">
      <c r="B18" s="7">
        <v>14</v>
      </c>
      <c r="C18" s="8" t="s">
        <v>167</v>
      </c>
      <c r="D18" s="8" t="s">
        <v>154</v>
      </c>
      <c r="E18" s="20">
        <v>23.4</v>
      </c>
      <c r="F18" s="10">
        <v>112.164</v>
      </c>
      <c r="G18" s="11">
        <f t="shared" si="0"/>
        <v>2624.6376</v>
      </c>
    </row>
    <row r="19" spans="2:7" ht="24">
      <c r="B19" s="7">
        <v>15</v>
      </c>
      <c r="C19" s="8" t="s">
        <v>168</v>
      </c>
      <c r="D19" s="8" t="s">
        <v>154</v>
      </c>
      <c r="E19" s="20">
        <v>3.92</v>
      </c>
      <c r="F19" s="21">
        <v>133.87</v>
      </c>
      <c r="G19" s="11">
        <f t="shared" si="0"/>
        <v>524.7704</v>
      </c>
    </row>
    <row r="20" spans="2:7" ht="12">
      <c r="B20" s="7">
        <v>16</v>
      </c>
      <c r="C20" s="8" t="s">
        <v>169</v>
      </c>
      <c r="D20" s="8" t="s">
        <v>154</v>
      </c>
      <c r="E20" s="20">
        <v>10.075</v>
      </c>
      <c r="F20" s="10">
        <v>100.94760000000002</v>
      </c>
      <c r="G20" s="11">
        <f t="shared" si="0"/>
        <v>1017.0470700000002</v>
      </c>
    </row>
    <row r="21" spans="2:7" ht="12">
      <c r="B21" s="7">
        <v>17</v>
      </c>
      <c r="C21" s="8" t="s">
        <v>170</v>
      </c>
      <c r="D21" s="8" t="s">
        <v>154</v>
      </c>
      <c r="E21" s="20">
        <v>10.075</v>
      </c>
      <c r="F21" s="10">
        <v>112.164</v>
      </c>
      <c r="G21" s="11">
        <f t="shared" si="0"/>
        <v>1130.0522999999998</v>
      </c>
    </row>
    <row r="22" spans="2:7" ht="12">
      <c r="B22" s="7">
        <v>18</v>
      </c>
      <c r="C22" s="8" t="s">
        <v>171</v>
      </c>
      <c r="D22" s="8" t="s">
        <v>154</v>
      </c>
      <c r="E22" s="20">
        <v>4.06</v>
      </c>
      <c r="F22" s="10">
        <v>126.18450000000001</v>
      </c>
      <c r="G22" s="11">
        <f t="shared" si="0"/>
        <v>512.30907</v>
      </c>
    </row>
    <row r="23" spans="2:7" ht="12">
      <c r="B23" s="7">
        <v>19</v>
      </c>
      <c r="C23" s="8" t="s">
        <v>172</v>
      </c>
      <c r="D23" s="8" t="s">
        <v>154</v>
      </c>
      <c r="E23" s="20">
        <v>6</v>
      </c>
      <c r="F23" s="10">
        <v>143.9438</v>
      </c>
      <c r="G23" s="11">
        <f t="shared" si="0"/>
        <v>863.6628000000001</v>
      </c>
    </row>
    <row r="24" spans="2:7" ht="24">
      <c r="B24" s="7">
        <v>20</v>
      </c>
      <c r="C24" s="8" t="s">
        <v>173</v>
      </c>
      <c r="D24" s="8" t="s">
        <v>154</v>
      </c>
      <c r="E24" s="20">
        <v>6</v>
      </c>
      <c r="F24" s="10">
        <v>126.18450000000001</v>
      </c>
      <c r="G24" s="11">
        <f t="shared" si="0"/>
        <v>757.1070000000001</v>
      </c>
    </row>
    <row r="25" spans="2:7" ht="24">
      <c r="B25" s="7">
        <v>21</v>
      </c>
      <c r="C25" s="8" t="s">
        <v>174</v>
      </c>
      <c r="D25" s="8" t="s">
        <v>154</v>
      </c>
      <c r="E25" s="20">
        <v>1.05</v>
      </c>
      <c r="F25" s="10">
        <v>143.9438</v>
      </c>
      <c r="G25" s="11">
        <f t="shared" si="0"/>
        <v>151.14099000000002</v>
      </c>
    </row>
    <row r="26" spans="2:7" ht="12">
      <c r="B26" s="7">
        <v>22</v>
      </c>
      <c r="C26" s="8" t="s">
        <v>175</v>
      </c>
      <c r="D26" s="8" t="s">
        <v>154</v>
      </c>
      <c r="E26" s="20">
        <v>0.776</v>
      </c>
      <c r="F26" s="10">
        <v>93.47</v>
      </c>
      <c r="G26" s="11">
        <f t="shared" si="0"/>
        <v>72.53272</v>
      </c>
    </row>
    <row r="27" spans="2:7" ht="12">
      <c r="B27" s="7">
        <v>23</v>
      </c>
      <c r="C27" s="8" t="s">
        <v>176</v>
      </c>
      <c r="D27" s="8" t="s">
        <v>154</v>
      </c>
      <c r="E27" s="20">
        <v>66.20586</v>
      </c>
      <c r="F27" s="10">
        <v>112.164</v>
      </c>
      <c r="G27" s="11">
        <f t="shared" si="0"/>
        <v>7425.91408104</v>
      </c>
    </row>
    <row r="28" spans="2:7" ht="12">
      <c r="B28" s="7">
        <v>24</v>
      </c>
      <c r="C28" s="8" t="s">
        <v>177</v>
      </c>
      <c r="D28" s="8" t="s">
        <v>154</v>
      </c>
      <c r="E28" s="20">
        <v>0.305</v>
      </c>
      <c r="F28" s="10">
        <v>126.18450000000001</v>
      </c>
      <c r="G28" s="11">
        <f t="shared" si="0"/>
        <v>38.486272500000005</v>
      </c>
    </row>
    <row r="29" spans="2:7" ht="12">
      <c r="B29" s="7">
        <v>25</v>
      </c>
      <c r="C29" s="8" t="s">
        <v>178</v>
      </c>
      <c r="D29" s="8" t="s">
        <v>154</v>
      </c>
      <c r="E29" s="20">
        <v>0.305</v>
      </c>
      <c r="F29" s="10">
        <v>143.9438</v>
      </c>
      <c r="G29" s="11">
        <f t="shared" si="0"/>
        <v>43.902859</v>
      </c>
    </row>
    <row r="30" spans="2:7" ht="24">
      <c r="B30" s="7">
        <v>26</v>
      </c>
      <c r="C30" s="8" t="s">
        <v>179</v>
      </c>
      <c r="D30" s="8" t="s">
        <v>154</v>
      </c>
      <c r="E30" s="20">
        <v>177.68453305</v>
      </c>
      <c r="F30" s="10">
        <v>100.94760000000002</v>
      </c>
      <c r="G30" s="11">
        <f t="shared" si="0"/>
        <v>17936.827168518183</v>
      </c>
    </row>
    <row r="31" spans="2:7" ht="24">
      <c r="B31" s="7">
        <v>27</v>
      </c>
      <c r="C31" s="8" t="s">
        <v>180</v>
      </c>
      <c r="D31" s="8" t="s">
        <v>154</v>
      </c>
      <c r="E31" s="20">
        <v>0.6445</v>
      </c>
      <c r="F31" s="10">
        <v>112.164</v>
      </c>
      <c r="G31" s="11">
        <f t="shared" si="0"/>
        <v>72.289698</v>
      </c>
    </row>
    <row r="32" spans="2:7" ht="24">
      <c r="B32" s="7">
        <v>28</v>
      </c>
      <c r="C32" s="8" t="s">
        <v>181</v>
      </c>
      <c r="D32" s="8" t="s">
        <v>154</v>
      </c>
      <c r="E32" s="20">
        <v>56.23092</v>
      </c>
      <c r="F32" s="21">
        <v>0.01</v>
      </c>
      <c r="G32" s="11">
        <f t="shared" si="0"/>
        <v>0.5623092</v>
      </c>
    </row>
    <row r="33" spans="2:7" ht="12">
      <c r="B33" s="7">
        <v>29</v>
      </c>
      <c r="C33" s="8" t="s">
        <v>182</v>
      </c>
      <c r="D33" s="8" t="s">
        <v>154</v>
      </c>
      <c r="E33" s="20">
        <v>40.1116</v>
      </c>
      <c r="F33" s="10">
        <v>112.164</v>
      </c>
      <c r="G33" s="11">
        <f t="shared" si="0"/>
        <v>4499.0775024</v>
      </c>
    </row>
    <row r="34" spans="2:7" ht="12">
      <c r="B34" s="7">
        <v>30</v>
      </c>
      <c r="C34" s="8" t="s">
        <v>183</v>
      </c>
      <c r="D34" s="8" t="s">
        <v>154</v>
      </c>
      <c r="E34" s="20">
        <v>68.792</v>
      </c>
      <c r="F34" s="10">
        <v>100.94760000000002</v>
      </c>
      <c r="G34" s="11">
        <f t="shared" si="0"/>
        <v>6944.3872992000015</v>
      </c>
    </row>
    <row r="35" spans="2:7" ht="12">
      <c r="B35" s="7">
        <v>31</v>
      </c>
      <c r="C35" s="8" t="s">
        <v>184</v>
      </c>
      <c r="D35" s="8" t="s">
        <v>154</v>
      </c>
      <c r="E35" s="20">
        <v>100.00666659</v>
      </c>
      <c r="F35" s="10">
        <v>112.164</v>
      </c>
      <c r="G35" s="11">
        <f t="shared" si="0"/>
        <v>11217.14775140076</v>
      </c>
    </row>
    <row r="36" spans="2:7" ht="12">
      <c r="B36" s="7">
        <v>32</v>
      </c>
      <c r="C36" s="8" t="s">
        <v>185</v>
      </c>
      <c r="D36" s="8" t="s">
        <v>154</v>
      </c>
      <c r="E36" s="20">
        <v>250.22004</v>
      </c>
      <c r="F36" s="10">
        <v>126.18450000000001</v>
      </c>
      <c r="G36" s="11">
        <f t="shared" si="0"/>
        <v>31573.890637380006</v>
      </c>
    </row>
    <row r="37" spans="2:7" ht="12">
      <c r="B37" s="7">
        <v>33</v>
      </c>
      <c r="C37" s="8" t="s">
        <v>186</v>
      </c>
      <c r="D37" s="8" t="s">
        <v>154</v>
      </c>
      <c r="E37" s="20">
        <v>32.31166658</v>
      </c>
      <c r="F37" s="10">
        <v>143.9438</v>
      </c>
      <c r="G37" s="11">
        <f t="shared" si="0"/>
        <v>4651.064071858204</v>
      </c>
    </row>
    <row r="38" spans="2:7" ht="12">
      <c r="B38" s="7">
        <v>34</v>
      </c>
      <c r="C38" s="8" t="s">
        <v>187</v>
      </c>
      <c r="D38" s="8" t="s">
        <v>154</v>
      </c>
      <c r="E38" s="20">
        <v>26.29666659</v>
      </c>
      <c r="F38" s="10">
        <v>168.246</v>
      </c>
      <c r="G38" s="11">
        <f t="shared" si="0"/>
        <v>4424.30896710114</v>
      </c>
    </row>
    <row r="39" spans="2:7" ht="12">
      <c r="B39" s="7">
        <v>35</v>
      </c>
      <c r="C39" s="8" t="s">
        <v>188</v>
      </c>
      <c r="D39" s="8" t="s">
        <v>154</v>
      </c>
      <c r="E39" s="20">
        <v>0.46</v>
      </c>
      <c r="F39" s="10">
        <v>100.94760000000002</v>
      </c>
      <c r="G39" s="11">
        <f t="shared" si="0"/>
        <v>46.435896000000014</v>
      </c>
    </row>
    <row r="40" spans="2:7" ht="12">
      <c r="B40" s="7">
        <v>36</v>
      </c>
      <c r="C40" s="8" t="s">
        <v>189</v>
      </c>
      <c r="D40" s="8" t="s">
        <v>154</v>
      </c>
      <c r="E40" s="20">
        <v>0.46</v>
      </c>
      <c r="F40" s="10">
        <v>112.164</v>
      </c>
      <c r="G40" s="11">
        <f t="shared" si="0"/>
        <v>51.59544</v>
      </c>
    </row>
    <row r="41" spans="2:7" ht="12">
      <c r="B41" s="7">
        <v>37</v>
      </c>
      <c r="C41" s="8" t="s">
        <v>190</v>
      </c>
      <c r="D41" s="8" t="s">
        <v>154</v>
      </c>
      <c r="E41" s="20">
        <v>56.25</v>
      </c>
      <c r="F41" s="10">
        <v>100.94760000000002</v>
      </c>
      <c r="G41" s="11">
        <f t="shared" si="0"/>
        <v>5678.302500000002</v>
      </c>
    </row>
    <row r="42" spans="2:7" ht="12">
      <c r="B42" s="7">
        <v>38</v>
      </c>
      <c r="C42" s="8" t="s">
        <v>191</v>
      </c>
      <c r="D42" s="8" t="s">
        <v>154</v>
      </c>
      <c r="E42" s="20">
        <v>56.25</v>
      </c>
      <c r="F42" s="10">
        <v>126.18450000000001</v>
      </c>
      <c r="G42" s="11">
        <f t="shared" si="0"/>
        <v>7097.878125000001</v>
      </c>
    </row>
    <row r="43" spans="2:7" ht="12">
      <c r="B43" s="7">
        <v>39</v>
      </c>
      <c r="C43" s="8" t="s">
        <v>192</v>
      </c>
      <c r="D43" s="8" t="s">
        <v>154</v>
      </c>
      <c r="E43" s="20">
        <v>6.87</v>
      </c>
      <c r="F43" s="10">
        <v>126.18450000000001</v>
      </c>
      <c r="G43" s="11">
        <f t="shared" si="0"/>
        <v>866.8875150000001</v>
      </c>
    </row>
    <row r="44" spans="2:7" ht="24">
      <c r="B44" s="7">
        <v>40</v>
      </c>
      <c r="C44" s="8" t="s">
        <v>193</v>
      </c>
      <c r="D44" s="8" t="s">
        <v>194</v>
      </c>
      <c r="E44" s="20">
        <v>56.23092</v>
      </c>
      <c r="F44" s="10">
        <v>143.9438</v>
      </c>
      <c r="G44" s="11">
        <f t="shared" si="0"/>
        <v>8094.0923022960005</v>
      </c>
    </row>
    <row r="45" spans="2:7" ht="24">
      <c r="B45" s="7">
        <v>41</v>
      </c>
      <c r="C45" s="8" t="s">
        <v>195</v>
      </c>
      <c r="D45" s="8" t="s">
        <v>154</v>
      </c>
      <c r="E45" s="20">
        <v>18.32</v>
      </c>
      <c r="F45" s="10">
        <v>112.164</v>
      </c>
      <c r="G45" s="11">
        <f t="shared" si="0"/>
        <v>2054.84448</v>
      </c>
    </row>
    <row r="46" spans="2:7" ht="24">
      <c r="B46" s="7">
        <v>42</v>
      </c>
      <c r="C46" s="8" t="s">
        <v>196</v>
      </c>
      <c r="D46" s="8" t="s">
        <v>154</v>
      </c>
      <c r="E46" s="20">
        <v>62.69092</v>
      </c>
      <c r="F46" s="10">
        <v>126.18450000000001</v>
      </c>
      <c r="G46" s="11">
        <f t="shared" si="0"/>
        <v>7910.62239474</v>
      </c>
    </row>
    <row r="47" spans="2:7" ht="12">
      <c r="B47" s="182" t="s">
        <v>139</v>
      </c>
      <c r="C47" s="182"/>
      <c r="D47" s="182"/>
      <c r="E47" s="182"/>
      <c r="F47" s="182"/>
      <c r="G47" s="22">
        <f>SUM(G5:G46)</f>
        <v>197043.1127090843</v>
      </c>
    </row>
    <row r="48" spans="2:7" ht="12.75" customHeight="1">
      <c r="B48" s="183" t="s">
        <v>197</v>
      </c>
      <c r="C48" s="183"/>
      <c r="D48" s="183"/>
      <c r="E48" s="183"/>
      <c r="F48" s="183"/>
      <c r="G48" s="183"/>
    </row>
    <row r="49" spans="2:7" ht="24">
      <c r="B49" s="15">
        <v>43</v>
      </c>
      <c r="C49" s="16" t="s">
        <v>198</v>
      </c>
      <c r="D49" s="16" t="s">
        <v>199</v>
      </c>
      <c r="E49" s="17">
        <v>4.62</v>
      </c>
      <c r="F49" s="18">
        <v>15.7675</v>
      </c>
      <c r="G49" s="19">
        <f aca="true" t="shared" si="1" ref="G49:G80">E49*F49</f>
        <v>72.84585</v>
      </c>
    </row>
    <row r="50" spans="2:7" ht="24">
      <c r="B50" s="7">
        <v>44</v>
      </c>
      <c r="C50" s="8" t="s">
        <v>200</v>
      </c>
      <c r="D50" s="8" t="s">
        <v>199</v>
      </c>
      <c r="E50" s="20">
        <v>2.75</v>
      </c>
      <c r="F50" s="10">
        <v>24.525899999999996</v>
      </c>
      <c r="G50" s="11">
        <f t="shared" si="1"/>
        <v>67.44622499999998</v>
      </c>
    </row>
    <row r="51" spans="2:7" ht="24">
      <c r="B51" s="7">
        <v>45</v>
      </c>
      <c r="C51" s="8" t="s">
        <v>201</v>
      </c>
      <c r="D51" s="8" t="s">
        <v>199</v>
      </c>
      <c r="E51" s="20">
        <v>0</v>
      </c>
      <c r="F51" s="10">
        <v>30.464</v>
      </c>
      <c r="G51" s="11">
        <f t="shared" si="1"/>
        <v>0</v>
      </c>
    </row>
    <row r="52" spans="2:7" ht="24">
      <c r="B52" s="7">
        <v>46</v>
      </c>
      <c r="C52" s="8" t="s">
        <v>202</v>
      </c>
      <c r="D52" s="8" t="s">
        <v>199</v>
      </c>
      <c r="E52" s="20">
        <v>4.84</v>
      </c>
      <c r="F52" s="10">
        <v>41.1621</v>
      </c>
      <c r="G52" s="11">
        <f t="shared" si="1"/>
        <v>199.22456400000002</v>
      </c>
    </row>
    <row r="53" spans="2:7" ht="12">
      <c r="B53" s="7">
        <v>47</v>
      </c>
      <c r="C53" s="8" t="s">
        <v>203</v>
      </c>
      <c r="D53" s="8" t="s">
        <v>204</v>
      </c>
      <c r="E53" s="20">
        <v>2.124</v>
      </c>
      <c r="F53" s="10">
        <v>2678.7495</v>
      </c>
      <c r="G53" s="11">
        <f t="shared" si="1"/>
        <v>5689.663938</v>
      </c>
    </row>
    <row r="54" spans="2:7" ht="12">
      <c r="B54" s="7">
        <v>48</v>
      </c>
      <c r="C54" s="8" t="s">
        <v>205</v>
      </c>
      <c r="D54" s="8" t="s">
        <v>206</v>
      </c>
      <c r="E54" s="20">
        <v>0.20184</v>
      </c>
      <c r="F54" s="10">
        <v>386.0003</v>
      </c>
      <c r="G54" s="11">
        <f t="shared" si="1"/>
        <v>77.910300552</v>
      </c>
    </row>
    <row r="55" spans="2:7" ht="12">
      <c r="B55" s="7">
        <v>49</v>
      </c>
      <c r="C55" s="8" t="s">
        <v>207</v>
      </c>
      <c r="D55" s="8" t="s">
        <v>204</v>
      </c>
      <c r="E55" s="20">
        <v>5E-05</v>
      </c>
      <c r="F55" s="10">
        <v>57049.6591</v>
      </c>
      <c r="G55" s="11">
        <f t="shared" si="1"/>
        <v>2.852482955</v>
      </c>
    </row>
    <row r="56" spans="2:7" ht="12">
      <c r="B56" s="7">
        <v>50</v>
      </c>
      <c r="C56" s="8" t="s">
        <v>208</v>
      </c>
      <c r="D56" s="8" t="s">
        <v>204</v>
      </c>
      <c r="E56" s="20">
        <v>0.00252</v>
      </c>
      <c r="F56" s="10">
        <v>47629.78569999999</v>
      </c>
      <c r="G56" s="11">
        <f t="shared" si="1"/>
        <v>120.02705996399999</v>
      </c>
    </row>
    <row r="57" spans="2:7" ht="12">
      <c r="B57" s="7">
        <v>51</v>
      </c>
      <c r="C57" s="8" t="s">
        <v>209</v>
      </c>
      <c r="D57" s="8" t="s">
        <v>204</v>
      </c>
      <c r="E57" s="20">
        <v>0.0540456</v>
      </c>
      <c r="F57" s="10">
        <v>53278.061200000004</v>
      </c>
      <c r="G57" s="11">
        <f t="shared" si="1"/>
        <v>2879.44478439072</v>
      </c>
    </row>
    <row r="58" spans="2:7" ht="12">
      <c r="B58" s="7">
        <v>52</v>
      </c>
      <c r="C58" s="8" t="s">
        <v>210</v>
      </c>
      <c r="D58" s="8" t="s">
        <v>204</v>
      </c>
      <c r="E58" s="20">
        <v>0.00512</v>
      </c>
      <c r="F58" s="10">
        <v>14199.377499999999</v>
      </c>
      <c r="G58" s="11">
        <f t="shared" si="1"/>
        <v>72.7008128</v>
      </c>
    </row>
    <row r="59" spans="2:7" ht="24">
      <c r="B59" s="7">
        <v>53</v>
      </c>
      <c r="C59" s="8" t="s">
        <v>211</v>
      </c>
      <c r="D59" s="8" t="s">
        <v>204</v>
      </c>
      <c r="E59" s="20">
        <v>0.00105</v>
      </c>
      <c r="F59" s="10">
        <v>58783.7271</v>
      </c>
      <c r="G59" s="11">
        <f t="shared" si="1"/>
        <v>61.72291345499999</v>
      </c>
    </row>
    <row r="60" spans="2:7" ht="24">
      <c r="B60" s="7">
        <v>54</v>
      </c>
      <c r="C60" s="8" t="s">
        <v>212</v>
      </c>
      <c r="D60" s="8" t="s">
        <v>204</v>
      </c>
      <c r="E60" s="20">
        <v>0.00324</v>
      </c>
      <c r="F60" s="10">
        <v>64294.6409</v>
      </c>
      <c r="G60" s="11">
        <f t="shared" si="1"/>
        <v>208.31463651599998</v>
      </c>
    </row>
    <row r="61" spans="2:7" ht="12">
      <c r="B61" s="7">
        <v>55</v>
      </c>
      <c r="C61" s="8" t="s">
        <v>213</v>
      </c>
      <c r="D61" s="8" t="s">
        <v>204</v>
      </c>
      <c r="E61" s="20">
        <v>0.011105</v>
      </c>
      <c r="F61" s="10">
        <v>83700.792</v>
      </c>
      <c r="G61" s="11">
        <f t="shared" si="1"/>
        <v>929.49729516</v>
      </c>
    </row>
    <row r="62" spans="2:7" ht="24">
      <c r="B62" s="7">
        <v>56</v>
      </c>
      <c r="C62" s="8" t="s">
        <v>214</v>
      </c>
      <c r="D62" s="8" t="s">
        <v>199</v>
      </c>
      <c r="E62" s="20">
        <v>12</v>
      </c>
      <c r="F62" s="10">
        <v>81.96719999999999</v>
      </c>
      <c r="G62" s="11">
        <f t="shared" si="1"/>
        <v>983.6063999999999</v>
      </c>
    </row>
    <row r="63" spans="2:7" ht="12">
      <c r="B63" s="7">
        <v>57</v>
      </c>
      <c r="C63" s="8" t="s">
        <v>215</v>
      </c>
      <c r="D63" s="8" t="s">
        <v>199</v>
      </c>
      <c r="E63" s="20">
        <v>8</v>
      </c>
      <c r="F63" s="10">
        <v>160.54289999999997</v>
      </c>
      <c r="G63" s="11">
        <f t="shared" si="1"/>
        <v>1284.3431999999998</v>
      </c>
    </row>
    <row r="64" spans="2:7" ht="12">
      <c r="B64" s="7">
        <v>58</v>
      </c>
      <c r="C64" s="8" t="s">
        <v>216</v>
      </c>
      <c r="D64" s="8" t="s">
        <v>217</v>
      </c>
      <c r="E64" s="20">
        <v>0.581</v>
      </c>
      <c r="F64" s="10">
        <v>20.741699999999998</v>
      </c>
      <c r="G64" s="11">
        <f t="shared" si="1"/>
        <v>12.050927699999997</v>
      </c>
    </row>
    <row r="65" spans="2:7" ht="12">
      <c r="B65" s="7">
        <v>59</v>
      </c>
      <c r="C65" s="8" t="s">
        <v>218</v>
      </c>
      <c r="D65" s="8" t="s">
        <v>206</v>
      </c>
      <c r="E65" s="20">
        <v>52.633748</v>
      </c>
      <c r="F65" s="10">
        <v>28.6433</v>
      </c>
      <c r="G65" s="11">
        <f t="shared" si="1"/>
        <v>1507.6042340883998</v>
      </c>
    </row>
    <row r="66" spans="2:7" ht="12">
      <c r="B66" s="7">
        <v>60</v>
      </c>
      <c r="C66" s="8" t="s">
        <v>219</v>
      </c>
      <c r="D66" s="8" t="s">
        <v>220</v>
      </c>
      <c r="E66" s="20">
        <v>0.00366</v>
      </c>
      <c r="F66" s="10">
        <v>26752.7708</v>
      </c>
      <c r="G66" s="11">
        <f t="shared" si="1"/>
        <v>97.915141128</v>
      </c>
    </row>
    <row r="67" spans="2:7" ht="12">
      <c r="B67" s="7">
        <v>61</v>
      </c>
      <c r="C67" s="8" t="s">
        <v>221</v>
      </c>
      <c r="D67" s="8" t="s">
        <v>204</v>
      </c>
      <c r="E67" s="20">
        <v>0.00024</v>
      </c>
      <c r="F67" s="10">
        <v>37276.274</v>
      </c>
      <c r="G67" s="11">
        <f t="shared" si="1"/>
        <v>8.94630576</v>
      </c>
    </row>
    <row r="68" spans="2:7" ht="12">
      <c r="B68" s="7">
        <v>62</v>
      </c>
      <c r="C68" s="8" t="s">
        <v>222</v>
      </c>
      <c r="D68" s="8" t="s">
        <v>217</v>
      </c>
      <c r="E68" s="20">
        <v>0.209</v>
      </c>
      <c r="F68" s="10">
        <v>317.94419999999997</v>
      </c>
      <c r="G68" s="11">
        <f t="shared" si="1"/>
        <v>66.45033779999999</v>
      </c>
    </row>
    <row r="69" spans="2:7" ht="12">
      <c r="B69" s="7">
        <v>63</v>
      </c>
      <c r="C69" s="8" t="s">
        <v>223</v>
      </c>
      <c r="D69" s="8" t="s">
        <v>224</v>
      </c>
      <c r="E69" s="20">
        <v>5.31</v>
      </c>
      <c r="F69" s="10">
        <v>37.9967</v>
      </c>
      <c r="G69" s="11">
        <f t="shared" si="1"/>
        <v>201.76247699999996</v>
      </c>
    </row>
    <row r="70" spans="2:7" ht="12">
      <c r="B70" s="7">
        <v>64</v>
      </c>
      <c r="C70" s="8" t="s">
        <v>225</v>
      </c>
      <c r="D70" s="8" t="s">
        <v>204</v>
      </c>
      <c r="E70" s="20">
        <v>0.0017499</v>
      </c>
      <c r="F70" s="10">
        <v>22783.5853</v>
      </c>
      <c r="G70" s="11">
        <f t="shared" si="1"/>
        <v>39.86899591647</v>
      </c>
    </row>
    <row r="71" spans="2:7" ht="12">
      <c r="B71" s="7">
        <v>65</v>
      </c>
      <c r="C71" s="8" t="s">
        <v>226</v>
      </c>
      <c r="D71" s="8" t="s">
        <v>206</v>
      </c>
      <c r="E71" s="20">
        <v>0.00036</v>
      </c>
      <c r="F71" s="10">
        <v>1071.0594999999998</v>
      </c>
      <c r="G71" s="11">
        <f t="shared" si="1"/>
        <v>0.38558141999999995</v>
      </c>
    </row>
    <row r="72" spans="2:7" ht="24">
      <c r="B72" s="7">
        <v>66</v>
      </c>
      <c r="C72" s="8" t="s">
        <v>227</v>
      </c>
      <c r="D72" s="8" t="s">
        <v>204</v>
      </c>
      <c r="E72" s="20">
        <v>0.00070075</v>
      </c>
      <c r="F72" s="10">
        <v>79242.7664</v>
      </c>
      <c r="G72" s="11">
        <f t="shared" si="1"/>
        <v>55.529368554799994</v>
      </c>
    </row>
    <row r="73" spans="2:7" ht="24">
      <c r="B73" s="7">
        <v>67</v>
      </c>
      <c r="C73" s="8" t="s">
        <v>228</v>
      </c>
      <c r="D73" s="8" t="s">
        <v>204</v>
      </c>
      <c r="E73" s="20">
        <v>8.4E-05</v>
      </c>
      <c r="F73" s="10">
        <v>78337.7</v>
      </c>
      <c r="G73" s="11">
        <f t="shared" si="1"/>
        <v>6.580366799999999</v>
      </c>
    </row>
    <row r="74" spans="2:7" ht="24">
      <c r="B74" s="7">
        <v>68</v>
      </c>
      <c r="C74" s="8" t="s">
        <v>229</v>
      </c>
      <c r="D74" s="8" t="s">
        <v>199</v>
      </c>
      <c r="E74" s="20">
        <v>1.5</v>
      </c>
      <c r="F74" s="10">
        <v>2499.476</v>
      </c>
      <c r="G74" s="11">
        <f t="shared" si="1"/>
        <v>3749.214</v>
      </c>
    </row>
    <row r="75" spans="2:7" ht="12">
      <c r="B75" s="7">
        <v>69</v>
      </c>
      <c r="C75" s="8" t="s">
        <v>230</v>
      </c>
      <c r="D75" s="8" t="s">
        <v>204</v>
      </c>
      <c r="E75" s="20">
        <v>0.00361</v>
      </c>
      <c r="F75" s="10">
        <v>2550.4556</v>
      </c>
      <c r="G75" s="11">
        <f t="shared" si="1"/>
        <v>9.207144715999998</v>
      </c>
    </row>
    <row r="76" spans="2:7" ht="12">
      <c r="B76" s="7">
        <v>70</v>
      </c>
      <c r="C76" s="8" t="s">
        <v>231</v>
      </c>
      <c r="D76" s="8" t="s">
        <v>217</v>
      </c>
      <c r="E76" s="20">
        <v>0.00273</v>
      </c>
      <c r="F76" s="10">
        <v>12.4593</v>
      </c>
      <c r="G76" s="11">
        <f t="shared" si="1"/>
        <v>0.034013889</v>
      </c>
    </row>
    <row r="77" spans="2:7" ht="12">
      <c r="B77" s="7">
        <v>71</v>
      </c>
      <c r="C77" s="8" t="s">
        <v>232</v>
      </c>
      <c r="D77" s="8" t="s">
        <v>217</v>
      </c>
      <c r="E77" s="20">
        <v>0.408</v>
      </c>
      <c r="F77" s="10">
        <v>237.6549</v>
      </c>
      <c r="G77" s="11">
        <f t="shared" si="1"/>
        <v>96.96319919999999</v>
      </c>
    </row>
    <row r="78" spans="2:7" ht="12">
      <c r="B78" s="7">
        <v>72</v>
      </c>
      <c r="C78" s="8" t="s">
        <v>233</v>
      </c>
      <c r="D78" s="8" t="s">
        <v>224</v>
      </c>
      <c r="E78" s="20">
        <v>0.03</v>
      </c>
      <c r="F78" s="10">
        <v>43.434999999999995</v>
      </c>
      <c r="G78" s="11">
        <f t="shared" si="1"/>
        <v>1.3030499999999998</v>
      </c>
    </row>
    <row r="79" spans="2:7" ht="12">
      <c r="B79" s="7">
        <v>73</v>
      </c>
      <c r="C79" s="8" t="s">
        <v>234</v>
      </c>
      <c r="D79" s="8" t="s">
        <v>204</v>
      </c>
      <c r="E79" s="20">
        <v>0.00036</v>
      </c>
      <c r="F79" s="10">
        <v>50747.5381</v>
      </c>
      <c r="G79" s="11">
        <f t="shared" si="1"/>
        <v>18.269113716</v>
      </c>
    </row>
    <row r="80" spans="2:7" ht="12">
      <c r="B80" s="7">
        <v>74</v>
      </c>
      <c r="C80" s="8" t="s">
        <v>235</v>
      </c>
      <c r="D80" s="8" t="s">
        <v>204</v>
      </c>
      <c r="E80" s="20">
        <v>0.0029301</v>
      </c>
      <c r="F80" s="10">
        <v>52734.83809999999</v>
      </c>
      <c r="G80" s="11">
        <f t="shared" si="1"/>
        <v>154.51834911681</v>
      </c>
    </row>
    <row r="81" spans="2:7" ht="12">
      <c r="B81" s="7">
        <v>75</v>
      </c>
      <c r="C81" s="8" t="s">
        <v>236</v>
      </c>
      <c r="D81" s="8" t="s">
        <v>206</v>
      </c>
      <c r="E81" s="20">
        <v>0.2211</v>
      </c>
      <c r="F81" s="10">
        <v>61.77289999999999</v>
      </c>
      <c r="G81" s="11">
        <f aca="true" t="shared" si="2" ref="G81:G112">E81*F81</f>
        <v>13.657988189999998</v>
      </c>
    </row>
    <row r="82" spans="2:7" ht="12">
      <c r="B82" s="7">
        <v>76</v>
      </c>
      <c r="C82" s="8" t="s">
        <v>237</v>
      </c>
      <c r="D82" s="8" t="s">
        <v>199</v>
      </c>
      <c r="E82" s="20">
        <v>30</v>
      </c>
      <c r="F82" s="10">
        <v>39.9126</v>
      </c>
      <c r="G82" s="11">
        <f t="shared" si="2"/>
        <v>1197.378</v>
      </c>
    </row>
    <row r="83" spans="2:7" ht="12">
      <c r="B83" s="7">
        <v>77</v>
      </c>
      <c r="C83" s="8" t="s">
        <v>238</v>
      </c>
      <c r="D83" s="8" t="s">
        <v>204</v>
      </c>
      <c r="E83" s="20">
        <v>0.0002</v>
      </c>
      <c r="F83" s="10">
        <v>40326.101200000005</v>
      </c>
      <c r="G83" s="11">
        <f t="shared" si="2"/>
        <v>8.065220240000002</v>
      </c>
    </row>
    <row r="84" spans="2:7" ht="12">
      <c r="B84" s="7">
        <v>78</v>
      </c>
      <c r="C84" s="8" t="s">
        <v>239</v>
      </c>
      <c r="D84" s="8" t="s">
        <v>204</v>
      </c>
      <c r="E84" s="20">
        <v>0.00021</v>
      </c>
      <c r="F84" s="10">
        <v>78217.31959999999</v>
      </c>
      <c r="G84" s="11">
        <f t="shared" si="2"/>
        <v>16.425637115999997</v>
      </c>
    </row>
    <row r="85" spans="2:7" ht="12">
      <c r="B85" s="7">
        <v>79</v>
      </c>
      <c r="C85" s="8" t="s">
        <v>240</v>
      </c>
      <c r="D85" s="8" t="s">
        <v>204</v>
      </c>
      <c r="E85" s="20">
        <v>0.001615</v>
      </c>
      <c r="F85" s="10">
        <v>39962.984599999996</v>
      </c>
      <c r="G85" s="11">
        <f t="shared" si="2"/>
        <v>64.54022012899999</v>
      </c>
    </row>
    <row r="86" spans="2:7" ht="12">
      <c r="B86" s="7">
        <v>80</v>
      </c>
      <c r="C86" s="8" t="s">
        <v>241</v>
      </c>
      <c r="D86" s="8" t="s">
        <v>224</v>
      </c>
      <c r="E86" s="20">
        <v>0.155</v>
      </c>
      <c r="F86" s="10">
        <v>22.764699999999998</v>
      </c>
      <c r="G86" s="11">
        <f t="shared" si="2"/>
        <v>3.5285284999999997</v>
      </c>
    </row>
    <row r="87" spans="2:7" ht="12">
      <c r="B87" s="7">
        <v>81</v>
      </c>
      <c r="C87" s="8" t="s">
        <v>242</v>
      </c>
      <c r="D87" s="8" t="s">
        <v>217</v>
      </c>
      <c r="E87" s="20">
        <v>52.1914</v>
      </c>
      <c r="F87" s="10">
        <v>46.0173</v>
      </c>
      <c r="G87" s="11">
        <f t="shared" si="2"/>
        <v>2401.70731122</v>
      </c>
    </row>
    <row r="88" spans="2:7" ht="12">
      <c r="B88" s="7">
        <v>82</v>
      </c>
      <c r="C88" s="8" t="s">
        <v>243</v>
      </c>
      <c r="D88" s="8" t="s">
        <v>204</v>
      </c>
      <c r="E88" s="20">
        <v>3E-05</v>
      </c>
      <c r="F88" s="10">
        <v>41532.666</v>
      </c>
      <c r="G88" s="11">
        <f t="shared" si="2"/>
        <v>1.24597998</v>
      </c>
    </row>
    <row r="89" spans="2:7" ht="12">
      <c r="B89" s="7">
        <v>83</v>
      </c>
      <c r="C89" s="8" t="s">
        <v>244</v>
      </c>
      <c r="D89" s="8" t="s">
        <v>217</v>
      </c>
      <c r="E89" s="20">
        <v>2.109</v>
      </c>
      <c r="F89" s="10">
        <v>58.750299999999996</v>
      </c>
      <c r="G89" s="11">
        <f t="shared" si="2"/>
        <v>123.90438269999999</v>
      </c>
    </row>
    <row r="90" spans="2:7" ht="24">
      <c r="B90" s="7">
        <v>84</v>
      </c>
      <c r="C90" s="8" t="s">
        <v>245</v>
      </c>
      <c r="D90" s="8" t="s">
        <v>217</v>
      </c>
      <c r="E90" s="20">
        <v>6</v>
      </c>
      <c r="F90" s="10">
        <v>116.02499999999999</v>
      </c>
      <c r="G90" s="11">
        <f t="shared" si="2"/>
        <v>696.15</v>
      </c>
    </row>
    <row r="91" spans="2:7" ht="36">
      <c r="B91" s="7">
        <v>85</v>
      </c>
      <c r="C91" s="8" t="s">
        <v>246</v>
      </c>
      <c r="D91" s="8" t="s">
        <v>204</v>
      </c>
      <c r="E91" s="20">
        <v>0.00544</v>
      </c>
      <c r="F91" s="10">
        <v>31272.5693</v>
      </c>
      <c r="G91" s="11">
        <f t="shared" si="2"/>
        <v>170.122776992</v>
      </c>
    </row>
    <row r="92" spans="2:7" ht="24">
      <c r="B92" s="7">
        <v>86</v>
      </c>
      <c r="C92" s="8" t="s">
        <v>247</v>
      </c>
      <c r="D92" s="8" t="s">
        <v>204</v>
      </c>
      <c r="E92" s="20">
        <v>5E-05</v>
      </c>
      <c r="F92" s="10">
        <v>326718.8197</v>
      </c>
      <c r="G92" s="11">
        <f t="shared" si="2"/>
        <v>16.335940985</v>
      </c>
    </row>
    <row r="93" spans="2:7" ht="12">
      <c r="B93" s="7">
        <v>87</v>
      </c>
      <c r="C93" s="8" t="s">
        <v>248</v>
      </c>
      <c r="D93" s="8" t="s">
        <v>217</v>
      </c>
      <c r="E93" s="20">
        <v>0.146</v>
      </c>
      <c r="F93" s="10">
        <v>62.3441</v>
      </c>
      <c r="G93" s="11">
        <f t="shared" si="2"/>
        <v>9.1022386</v>
      </c>
    </row>
    <row r="94" spans="2:7" ht="12">
      <c r="B94" s="7">
        <v>88</v>
      </c>
      <c r="C94" s="8" t="s">
        <v>249</v>
      </c>
      <c r="D94" s="8" t="s">
        <v>204</v>
      </c>
      <c r="E94" s="20">
        <v>7.2E-05</v>
      </c>
      <c r="F94" s="10">
        <v>60639.5321</v>
      </c>
      <c r="G94" s="11">
        <f t="shared" si="2"/>
        <v>4.3660463112</v>
      </c>
    </row>
    <row r="95" spans="2:7" ht="12">
      <c r="B95" s="7">
        <v>89</v>
      </c>
      <c r="C95" s="8" t="s">
        <v>250</v>
      </c>
      <c r="D95" s="8" t="s">
        <v>204</v>
      </c>
      <c r="E95" s="20">
        <v>0.396</v>
      </c>
      <c r="F95" s="10">
        <v>26056.2043</v>
      </c>
      <c r="G95" s="11">
        <f t="shared" si="2"/>
        <v>10318.256902800002</v>
      </c>
    </row>
    <row r="96" spans="2:7" ht="12">
      <c r="B96" s="7">
        <v>90</v>
      </c>
      <c r="C96" s="8" t="s">
        <v>251</v>
      </c>
      <c r="D96" s="8" t="s">
        <v>217</v>
      </c>
      <c r="E96" s="20">
        <v>0.45</v>
      </c>
      <c r="F96" s="10">
        <v>125.6164</v>
      </c>
      <c r="G96" s="11">
        <f t="shared" si="2"/>
        <v>56.52738</v>
      </c>
    </row>
    <row r="97" spans="2:7" ht="24">
      <c r="B97" s="7">
        <v>91</v>
      </c>
      <c r="C97" s="8" t="s">
        <v>252</v>
      </c>
      <c r="D97" s="8" t="s">
        <v>204</v>
      </c>
      <c r="E97" s="20">
        <v>0.0006501</v>
      </c>
      <c r="F97" s="10">
        <v>59302.8051</v>
      </c>
      <c r="G97" s="11">
        <f t="shared" si="2"/>
        <v>38.55275359551</v>
      </c>
    </row>
    <row r="98" spans="2:7" ht="12">
      <c r="B98" s="7">
        <v>92</v>
      </c>
      <c r="C98" s="8" t="s">
        <v>253</v>
      </c>
      <c r="D98" s="8" t="s">
        <v>204</v>
      </c>
      <c r="E98" s="20">
        <v>0.1905</v>
      </c>
      <c r="F98" s="10">
        <v>39254.803700000004</v>
      </c>
      <c r="G98" s="11">
        <f t="shared" si="2"/>
        <v>7478.040104850001</v>
      </c>
    </row>
    <row r="99" spans="2:7" ht="12">
      <c r="B99" s="7">
        <v>93</v>
      </c>
      <c r="C99" s="8" t="s">
        <v>254</v>
      </c>
      <c r="D99" s="8" t="s">
        <v>204</v>
      </c>
      <c r="E99" s="20">
        <v>0.000155</v>
      </c>
      <c r="F99" s="10">
        <v>71280.0242</v>
      </c>
      <c r="G99" s="11">
        <f t="shared" si="2"/>
        <v>11.048403751</v>
      </c>
    </row>
    <row r="100" spans="2:7" ht="24">
      <c r="B100" s="7">
        <v>94</v>
      </c>
      <c r="C100" s="8" t="s">
        <v>255</v>
      </c>
      <c r="D100" s="8" t="s">
        <v>206</v>
      </c>
      <c r="E100" s="20">
        <v>0.01064</v>
      </c>
      <c r="F100" s="10">
        <v>2333.4114999999997</v>
      </c>
      <c r="G100" s="11">
        <f t="shared" si="2"/>
        <v>24.827498359999996</v>
      </c>
    </row>
    <row r="101" spans="2:7" ht="12">
      <c r="B101" s="7">
        <v>95</v>
      </c>
      <c r="C101" s="8" t="s">
        <v>256</v>
      </c>
      <c r="D101" s="8" t="s">
        <v>199</v>
      </c>
      <c r="E101" s="20">
        <v>645.8</v>
      </c>
      <c r="F101" s="10">
        <v>3.7960999999999996</v>
      </c>
      <c r="G101" s="11">
        <f t="shared" si="2"/>
        <v>2451.5213799999997</v>
      </c>
    </row>
    <row r="102" spans="2:7" ht="12">
      <c r="B102" s="7">
        <v>96</v>
      </c>
      <c r="C102" s="8" t="s">
        <v>257</v>
      </c>
      <c r="D102" s="8" t="s">
        <v>217</v>
      </c>
      <c r="E102" s="20">
        <v>9.3192</v>
      </c>
      <c r="F102" s="10">
        <v>176.02479999999997</v>
      </c>
      <c r="G102" s="11">
        <f t="shared" si="2"/>
        <v>1640.4103161599999</v>
      </c>
    </row>
    <row r="103" spans="2:7" ht="12">
      <c r="B103" s="7">
        <v>97</v>
      </c>
      <c r="C103" s="8" t="s">
        <v>258</v>
      </c>
      <c r="D103" s="8" t="s">
        <v>217</v>
      </c>
      <c r="E103" s="20">
        <v>0.475</v>
      </c>
      <c r="F103" s="10">
        <v>35.319199999999995</v>
      </c>
      <c r="G103" s="11">
        <f t="shared" si="2"/>
        <v>16.776619999999998</v>
      </c>
    </row>
    <row r="104" spans="2:7" ht="24">
      <c r="B104" s="7">
        <v>98</v>
      </c>
      <c r="C104" s="8" t="s">
        <v>259</v>
      </c>
      <c r="D104" s="8" t="s">
        <v>204</v>
      </c>
      <c r="E104" s="20">
        <v>0.000122</v>
      </c>
      <c r="F104" s="10">
        <v>340343.0821</v>
      </c>
      <c r="G104" s="11">
        <f t="shared" si="2"/>
        <v>41.5218560162</v>
      </c>
    </row>
    <row r="105" spans="2:7" ht="12">
      <c r="B105" s="7">
        <v>99</v>
      </c>
      <c r="C105" s="8" t="s">
        <v>260</v>
      </c>
      <c r="D105" s="8" t="s">
        <v>199</v>
      </c>
      <c r="E105" s="20">
        <v>30</v>
      </c>
      <c r="F105" s="10">
        <v>65.02159999999999</v>
      </c>
      <c r="G105" s="11">
        <f t="shared" si="2"/>
        <v>1950.6479999999997</v>
      </c>
    </row>
    <row r="106" spans="2:7" ht="12">
      <c r="B106" s="7">
        <v>100</v>
      </c>
      <c r="C106" s="8" t="s">
        <v>261</v>
      </c>
      <c r="D106" s="8" t="s">
        <v>204</v>
      </c>
      <c r="E106" s="20">
        <v>0.000106</v>
      </c>
      <c r="F106" s="10">
        <v>36366.5904</v>
      </c>
      <c r="G106" s="11">
        <f t="shared" si="2"/>
        <v>3.8548585824000003</v>
      </c>
    </row>
    <row r="107" spans="2:7" ht="12">
      <c r="B107" s="7">
        <v>101</v>
      </c>
      <c r="C107" s="8" t="s">
        <v>262</v>
      </c>
      <c r="D107" s="8" t="s">
        <v>217</v>
      </c>
      <c r="E107" s="20">
        <v>5.22315</v>
      </c>
      <c r="F107" s="10">
        <v>107.4451</v>
      </c>
      <c r="G107" s="11">
        <f t="shared" si="2"/>
        <v>561.201874065</v>
      </c>
    </row>
    <row r="108" spans="2:7" ht="12">
      <c r="B108" s="7">
        <v>102</v>
      </c>
      <c r="C108" s="8" t="s">
        <v>263</v>
      </c>
      <c r="D108" s="8" t="s">
        <v>217</v>
      </c>
      <c r="E108" s="20">
        <v>0.0976</v>
      </c>
      <c r="F108" s="10">
        <v>58.750299999999996</v>
      </c>
      <c r="G108" s="11">
        <f t="shared" si="2"/>
        <v>5.73402928</v>
      </c>
    </row>
    <row r="109" spans="2:7" ht="12">
      <c r="B109" s="7">
        <v>103</v>
      </c>
      <c r="C109" s="8" t="s">
        <v>264</v>
      </c>
      <c r="D109" s="8" t="s">
        <v>217</v>
      </c>
      <c r="E109" s="20">
        <v>0.141</v>
      </c>
      <c r="F109" s="10">
        <v>61.4397</v>
      </c>
      <c r="G109" s="11">
        <f t="shared" si="2"/>
        <v>8.6629977</v>
      </c>
    </row>
    <row r="110" spans="2:7" ht="12">
      <c r="B110" s="7">
        <v>104</v>
      </c>
      <c r="C110" s="8" t="s">
        <v>265</v>
      </c>
      <c r="D110" s="8" t="s">
        <v>204</v>
      </c>
      <c r="E110" s="20">
        <v>2.5E-05</v>
      </c>
      <c r="F110" s="10">
        <v>191386.629</v>
      </c>
      <c r="G110" s="11">
        <f t="shared" si="2"/>
        <v>4.784665725</v>
      </c>
    </row>
    <row r="111" spans="2:7" ht="12">
      <c r="B111" s="7">
        <v>105</v>
      </c>
      <c r="C111" s="8" t="s">
        <v>266</v>
      </c>
      <c r="D111" s="8" t="s">
        <v>204</v>
      </c>
      <c r="E111" s="20">
        <v>0.021375</v>
      </c>
      <c r="F111" s="10">
        <v>7450.3996</v>
      </c>
      <c r="G111" s="11">
        <f t="shared" si="2"/>
        <v>159.25229145</v>
      </c>
    </row>
    <row r="112" spans="2:7" ht="24">
      <c r="B112" s="7">
        <v>106</v>
      </c>
      <c r="C112" s="8" t="s">
        <v>267</v>
      </c>
      <c r="D112" s="8" t="s">
        <v>206</v>
      </c>
      <c r="E112" s="20">
        <v>0.00023762</v>
      </c>
      <c r="F112" s="10">
        <v>713.8096</v>
      </c>
      <c r="G112" s="11">
        <f t="shared" si="2"/>
        <v>0.169615437152</v>
      </c>
    </row>
    <row r="113" spans="2:7" ht="12">
      <c r="B113" s="7">
        <v>107</v>
      </c>
      <c r="C113" s="8" t="s">
        <v>268</v>
      </c>
      <c r="D113" s="8" t="s">
        <v>204</v>
      </c>
      <c r="E113" s="20">
        <v>0.1125</v>
      </c>
      <c r="F113" s="10">
        <v>45366.90549999999</v>
      </c>
      <c r="G113" s="11">
        <f aca="true" t="shared" si="3" ref="G113:G144">E113*F113</f>
        <v>5103.776868749999</v>
      </c>
    </row>
    <row r="114" spans="2:7" ht="12">
      <c r="B114" s="7">
        <v>108</v>
      </c>
      <c r="C114" s="8" t="s">
        <v>269</v>
      </c>
      <c r="D114" s="8" t="s">
        <v>217</v>
      </c>
      <c r="E114" s="20">
        <v>0.312</v>
      </c>
      <c r="F114" s="10">
        <v>162.44689999999997</v>
      </c>
      <c r="G114" s="11">
        <f t="shared" si="3"/>
        <v>50.68343279999999</v>
      </c>
    </row>
    <row r="115" spans="2:7" ht="12">
      <c r="B115" s="7">
        <v>109</v>
      </c>
      <c r="C115" s="8" t="s">
        <v>270</v>
      </c>
      <c r="D115" s="8" t="s">
        <v>204</v>
      </c>
      <c r="E115" s="20">
        <v>3E-05</v>
      </c>
      <c r="F115" s="10">
        <v>55551.234899999996</v>
      </c>
      <c r="G115" s="11">
        <f t="shared" si="3"/>
        <v>1.6665370469999998</v>
      </c>
    </row>
    <row r="116" spans="2:7" ht="12">
      <c r="B116" s="7">
        <v>110</v>
      </c>
      <c r="C116" s="8" t="s">
        <v>271</v>
      </c>
      <c r="D116" s="8" t="s">
        <v>199</v>
      </c>
      <c r="E116" s="20">
        <v>4</v>
      </c>
      <c r="F116" s="10">
        <v>856.7643</v>
      </c>
      <c r="G116" s="11">
        <f t="shared" si="3"/>
        <v>3427.0572</v>
      </c>
    </row>
    <row r="117" spans="2:7" ht="12">
      <c r="B117" s="7">
        <v>111</v>
      </c>
      <c r="C117" s="8" t="s">
        <v>272</v>
      </c>
      <c r="D117" s="8" t="s">
        <v>217</v>
      </c>
      <c r="E117" s="20">
        <v>0.005</v>
      </c>
      <c r="F117" s="10">
        <v>183.08149999999998</v>
      </c>
      <c r="G117" s="11">
        <f t="shared" si="3"/>
        <v>0.9154074999999999</v>
      </c>
    </row>
    <row r="118" spans="2:7" ht="12">
      <c r="B118" s="7">
        <v>112</v>
      </c>
      <c r="C118" s="8" t="s">
        <v>273</v>
      </c>
      <c r="D118" s="8" t="s">
        <v>274</v>
      </c>
      <c r="E118" s="20">
        <v>0.0306</v>
      </c>
      <c r="F118" s="21">
        <v>2373.24</v>
      </c>
      <c r="G118" s="11">
        <f t="shared" si="3"/>
        <v>72.62114399999999</v>
      </c>
    </row>
    <row r="119" spans="2:7" ht="12">
      <c r="B119" s="7">
        <v>113</v>
      </c>
      <c r="C119" s="8" t="s">
        <v>275</v>
      </c>
      <c r="D119" s="8" t="s">
        <v>204</v>
      </c>
      <c r="E119" s="20">
        <v>0.0001404</v>
      </c>
      <c r="F119" s="10">
        <v>42258.70879999999</v>
      </c>
      <c r="G119" s="11">
        <f t="shared" si="3"/>
        <v>5.933122715519999</v>
      </c>
    </row>
    <row r="120" spans="2:7" ht="24">
      <c r="B120" s="7">
        <v>114</v>
      </c>
      <c r="C120" s="8" t="s">
        <v>276</v>
      </c>
      <c r="D120" s="8" t="s">
        <v>204</v>
      </c>
      <c r="E120" s="20">
        <v>4E-05</v>
      </c>
      <c r="F120" s="10">
        <v>52870.7242</v>
      </c>
      <c r="G120" s="11">
        <f t="shared" si="3"/>
        <v>2.114828968</v>
      </c>
    </row>
    <row r="121" spans="2:7" ht="12">
      <c r="B121" s="7">
        <v>115</v>
      </c>
      <c r="C121" s="8" t="s">
        <v>277</v>
      </c>
      <c r="D121" s="8" t="s">
        <v>220</v>
      </c>
      <c r="E121" s="20">
        <v>0.005</v>
      </c>
      <c r="F121" s="10">
        <v>17823.8676</v>
      </c>
      <c r="G121" s="11">
        <f t="shared" si="3"/>
        <v>89.11933800000001</v>
      </c>
    </row>
    <row r="122" spans="2:7" ht="12">
      <c r="B122" s="7">
        <v>116</v>
      </c>
      <c r="C122" s="8" t="s">
        <v>278</v>
      </c>
      <c r="D122" s="8" t="s">
        <v>206</v>
      </c>
      <c r="E122" s="20">
        <v>1.65</v>
      </c>
      <c r="F122" s="10">
        <v>2785.0046</v>
      </c>
      <c r="G122" s="11">
        <f t="shared" si="3"/>
        <v>4595.25759</v>
      </c>
    </row>
    <row r="123" spans="2:7" ht="12">
      <c r="B123" s="7">
        <v>117</v>
      </c>
      <c r="C123" s="8" t="s">
        <v>279</v>
      </c>
      <c r="D123" s="8" t="s">
        <v>206</v>
      </c>
      <c r="E123" s="20">
        <v>0.0023</v>
      </c>
      <c r="F123" s="10">
        <v>2742.9024</v>
      </c>
      <c r="G123" s="11">
        <f t="shared" si="3"/>
        <v>6.3086755199999995</v>
      </c>
    </row>
    <row r="124" spans="2:7" ht="12">
      <c r="B124" s="7">
        <v>118</v>
      </c>
      <c r="C124" s="8" t="s">
        <v>280</v>
      </c>
      <c r="D124" s="8" t="s">
        <v>206</v>
      </c>
      <c r="E124" s="20">
        <v>0.51</v>
      </c>
      <c r="F124" s="10">
        <v>2482.8041</v>
      </c>
      <c r="G124" s="11">
        <f t="shared" si="3"/>
        <v>1266.230091</v>
      </c>
    </row>
    <row r="125" spans="2:7" ht="12">
      <c r="B125" s="7">
        <v>119</v>
      </c>
      <c r="C125" s="8" t="s">
        <v>281</v>
      </c>
      <c r="D125" s="8" t="s">
        <v>206</v>
      </c>
      <c r="E125" s="20">
        <v>0.001</v>
      </c>
      <c r="F125" s="10">
        <v>3879.2452999999996</v>
      </c>
      <c r="G125" s="11">
        <f t="shared" si="3"/>
        <v>3.8792452999999996</v>
      </c>
    </row>
    <row r="126" spans="2:7" ht="12">
      <c r="B126" s="7">
        <v>120</v>
      </c>
      <c r="C126" s="8" t="s">
        <v>282</v>
      </c>
      <c r="D126" s="8" t="s">
        <v>204</v>
      </c>
      <c r="E126" s="20">
        <v>0.0012501</v>
      </c>
      <c r="F126" s="10">
        <v>61795.867</v>
      </c>
      <c r="G126" s="11">
        <f t="shared" si="3"/>
        <v>77.2510133367</v>
      </c>
    </row>
    <row r="127" spans="2:7" ht="12">
      <c r="B127" s="7">
        <v>121</v>
      </c>
      <c r="C127" s="8" t="s">
        <v>283</v>
      </c>
      <c r="D127" s="8" t="s">
        <v>199</v>
      </c>
      <c r="E127" s="20">
        <v>0.25</v>
      </c>
      <c r="F127" s="10">
        <v>135.9932</v>
      </c>
      <c r="G127" s="11">
        <f t="shared" si="3"/>
        <v>33.9983</v>
      </c>
    </row>
    <row r="128" spans="2:7" ht="12">
      <c r="B128" s="7">
        <v>122</v>
      </c>
      <c r="C128" s="8" t="s">
        <v>284</v>
      </c>
      <c r="D128" s="8" t="s">
        <v>199</v>
      </c>
      <c r="E128" s="20">
        <v>0.25</v>
      </c>
      <c r="F128" s="10">
        <v>15463.609699999999</v>
      </c>
      <c r="G128" s="11">
        <f t="shared" si="3"/>
        <v>3865.9024249999998</v>
      </c>
    </row>
    <row r="129" spans="2:7" ht="12">
      <c r="B129" s="7">
        <v>123</v>
      </c>
      <c r="C129" s="8" t="s">
        <v>285</v>
      </c>
      <c r="D129" s="8" t="s">
        <v>217</v>
      </c>
      <c r="E129" s="20">
        <v>0.8</v>
      </c>
      <c r="F129" s="10">
        <v>89.2262</v>
      </c>
      <c r="G129" s="11">
        <f t="shared" si="3"/>
        <v>71.38096</v>
      </c>
    </row>
    <row r="130" spans="2:7" ht="12">
      <c r="B130" s="7">
        <v>124</v>
      </c>
      <c r="C130" s="8" t="s">
        <v>286</v>
      </c>
      <c r="D130" s="8" t="s">
        <v>217</v>
      </c>
      <c r="E130" s="20">
        <v>0.05</v>
      </c>
      <c r="F130" s="10">
        <v>259.47950000000003</v>
      </c>
      <c r="G130" s="11">
        <f t="shared" si="3"/>
        <v>12.973975000000003</v>
      </c>
    </row>
    <row r="131" spans="2:7" ht="12">
      <c r="B131" s="7">
        <v>125</v>
      </c>
      <c r="C131" s="8" t="s">
        <v>287</v>
      </c>
      <c r="D131" s="8" t="s">
        <v>224</v>
      </c>
      <c r="E131" s="20">
        <v>138</v>
      </c>
      <c r="F131" s="10">
        <v>11.6382</v>
      </c>
      <c r="G131" s="11">
        <f t="shared" si="3"/>
        <v>1606.0716</v>
      </c>
    </row>
    <row r="132" spans="2:7" ht="12">
      <c r="B132" s="7">
        <v>126</v>
      </c>
      <c r="C132" s="8" t="s">
        <v>288</v>
      </c>
      <c r="D132" s="8" t="s">
        <v>199</v>
      </c>
      <c r="E132" s="20">
        <v>1.83</v>
      </c>
      <c r="F132" s="10">
        <v>15.4343</v>
      </c>
      <c r="G132" s="11">
        <f t="shared" si="3"/>
        <v>28.244769</v>
      </c>
    </row>
    <row r="133" spans="2:7" ht="12">
      <c r="B133" s="7">
        <v>127</v>
      </c>
      <c r="C133" s="8" t="s">
        <v>289</v>
      </c>
      <c r="D133" s="8" t="s">
        <v>217</v>
      </c>
      <c r="E133" s="20">
        <v>0.294</v>
      </c>
      <c r="F133" s="10">
        <v>37.8777</v>
      </c>
      <c r="G133" s="11">
        <f t="shared" si="3"/>
        <v>11.136043799999998</v>
      </c>
    </row>
    <row r="134" spans="2:7" ht="24">
      <c r="B134" s="7">
        <v>128</v>
      </c>
      <c r="C134" s="8" t="s">
        <v>290</v>
      </c>
      <c r="D134" s="8" t="s">
        <v>204</v>
      </c>
      <c r="E134" s="20">
        <v>0.00024</v>
      </c>
      <c r="F134" s="10">
        <v>174718.87019999998</v>
      </c>
      <c r="G134" s="11">
        <f t="shared" si="3"/>
        <v>41.932528848</v>
      </c>
    </row>
    <row r="135" spans="2:7" ht="24">
      <c r="B135" s="7">
        <v>129</v>
      </c>
      <c r="C135" s="8" t="s">
        <v>291</v>
      </c>
      <c r="D135" s="8" t="s">
        <v>204</v>
      </c>
      <c r="E135" s="20">
        <v>0.0003</v>
      </c>
      <c r="F135" s="10">
        <v>176273.2482</v>
      </c>
      <c r="G135" s="11">
        <f t="shared" si="3"/>
        <v>52.881974459999995</v>
      </c>
    </row>
    <row r="136" spans="2:7" ht="12">
      <c r="B136" s="7">
        <v>130</v>
      </c>
      <c r="C136" s="8" t="s">
        <v>292</v>
      </c>
      <c r="D136" s="8" t="s">
        <v>204</v>
      </c>
      <c r="E136" s="20">
        <v>0.01038</v>
      </c>
      <c r="F136" s="10">
        <v>29779.3811</v>
      </c>
      <c r="G136" s="11">
        <f t="shared" si="3"/>
        <v>309.109975818</v>
      </c>
    </row>
    <row r="137" spans="2:7" ht="24">
      <c r="B137" s="7">
        <v>131</v>
      </c>
      <c r="C137" s="8" t="s">
        <v>293</v>
      </c>
      <c r="D137" s="8" t="s">
        <v>224</v>
      </c>
      <c r="E137" s="20">
        <v>0.68666667</v>
      </c>
      <c r="F137" s="10">
        <v>191.0188</v>
      </c>
      <c r="G137" s="11">
        <f t="shared" si="3"/>
        <v>131.16624330339602</v>
      </c>
    </row>
    <row r="138" spans="2:7" ht="12">
      <c r="B138" s="7">
        <v>132</v>
      </c>
      <c r="C138" s="8" t="s">
        <v>294</v>
      </c>
      <c r="D138" s="8" t="s">
        <v>204</v>
      </c>
      <c r="E138" s="20">
        <v>1E-05</v>
      </c>
      <c r="F138" s="10">
        <v>41189.505699999994</v>
      </c>
      <c r="G138" s="11">
        <f t="shared" si="3"/>
        <v>0.41189505699999995</v>
      </c>
    </row>
    <row r="139" spans="2:7" ht="12">
      <c r="B139" s="7">
        <v>133</v>
      </c>
      <c r="C139" s="8" t="s">
        <v>295</v>
      </c>
      <c r="D139" s="8" t="s">
        <v>204</v>
      </c>
      <c r="E139" s="20">
        <v>0.0002442</v>
      </c>
      <c r="F139" s="10">
        <v>105713.1145</v>
      </c>
      <c r="G139" s="11">
        <f t="shared" si="3"/>
        <v>25.815142560900004</v>
      </c>
    </row>
    <row r="140" spans="2:7" ht="12">
      <c r="B140" s="7">
        <v>134</v>
      </c>
      <c r="C140" s="8" t="s">
        <v>296</v>
      </c>
      <c r="D140" s="8" t="s">
        <v>204</v>
      </c>
      <c r="E140" s="20">
        <v>0.00033</v>
      </c>
      <c r="F140" s="10">
        <v>7101.3726</v>
      </c>
      <c r="G140" s="11">
        <f t="shared" si="3"/>
        <v>2.343452958</v>
      </c>
    </row>
    <row r="141" spans="2:7" ht="12">
      <c r="B141" s="7">
        <v>135</v>
      </c>
      <c r="C141" s="8" t="s">
        <v>297</v>
      </c>
      <c r="D141" s="8" t="s">
        <v>298</v>
      </c>
      <c r="E141" s="20">
        <v>2.3298</v>
      </c>
      <c r="F141" s="10">
        <v>255.55249999999998</v>
      </c>
      <c r="G141" s="11">
        <f t="shared" si="3"/>
        <v>595.3862144999999</v>
      </c>
    </row>
    <row r="142" spans="2:7" ht="36">
      <c r="B142" s="7">
        <v>136</v>
      </c>
      <c r="C142" s="8" t="s">
        <v>299</v>
      </c>
      <c r="D142" s="8" t="s">
        <v>204</v>
      </c>
      <c r="E142" s="20">
        <v>0.0006</v>
      </c>
      <c r="F142" s="10">
        <v>27909.605499999998</v>
      </c>
      <c r="G142" s="11">
        <f t="shared" si="3"/>
        <v>16.745763299999997</v>
      </c>
    </row>
    <row r="143" spans="2:7" ht="12">
      <c r="B143" s="7">
        <v>137</v>
      </c>
      <c r="C143" s="8" t="s">
        <v>300</v>
      </c>
      <c r="D143" s="8" t="s">
        <v>301</v>
      </c>
      <c r="E143" s="20">
        <v>8</v>
      </c>
      <c r="F143" s="10">
        <v>177.2267</v>
      </c>
      <c r="G143" s="11">
        <f t="shared" si="3"/>
        <v>1417.8136</v>
      </c>
    </row>
    <row r="144" spans="2:7" ht="12">
      <c r="B144" s="7">
        <v>138</v>
      </c>
      <c r="C144" s="8" t="s">
        <v>302</v>
      </c>
      <c r="D144" s="8" t="s">
        <v>301</v>
      </c>
      <c r="E144" s="20">
        <v>12.2</v>
      </c>
      <c r="F144" s="10">
        <v>230.6934</v>
      </c>
      <c r="G144" s="11">
        <f t="shared" si="3"/>
        <v>2814.45948</v>
      </c>
    </row>
    <row r="145" spans="2:7" ht="24">
      <c r="B145" s="7">
        <v>139</v>
      </c>
      <c r="C145" s="8" t="s">
        <v>303</v>
      </c>
      <c r="D145" s="8" t="s">
        <v>301</v>
      </c>
      <c r="E145" s="20">
        <v>9.98</v>
      </c>
      <c r="F145" s="10">
        <v>115.51329999999999</v>
      </c>
      <c r="G145" s="11">
        <f aca="true" t="shared" si="4" ref="G145:G159">E145*F145</f>
        <v>1152.8227339999999</v>
      </c>
    </row>
    <row r="146" spans="2:7" ht="24">
      <c r="B146" s="7">
        <v>140</v>
      </c>
      <c r="C146" s="8" t="s">
        <v>304</v>
      </c>
      <c r="D146" s="8" t="s">
        <v>301</v>
      </c>
      <c r="E146" s="20">
        <v>9.98</v>
      </c>
      <c r="F146" s="10">
        <v>206.4174</v>
      </c>
      <c r="G146" s="11">
        <f t="shared" si="4"/>
        <v>2060.045652</v>
      </c>
    </row>
    <row r="147" spans="2:7" ht="36">
      <c r="B147" s="7">
        <v>141</v>
      </c>
      <c r="C147" s="8" t="s">
        <v>305</v>
      </c>
      <c r="D147" s="8" t="s">
        <v>301</v>
      </c>
      <c r="E147" s="20">
        <v>0</v>
      </c>
      <c r="F147" s="10">
        <v>117.67909999999999</v>
      </c>
      <c r="G147" s="11">
        <f t="shared" si="4"/>
        <v>0</v>
      </c>
    </row>
    <row r="148" spans="2:7" ht="36">
      <c r="B148" s="7">
        <v>142</v>
      </c>
      <c r="C148" s="8" t="s">
        <v>306</v>
      </c>
      <c r="D148" s="8" t="s">
        <v>301</v>
      </c>
      <c r="E148" s="20">
        <v>22</v>
      </c>
      <c r="F148" s="10">
        <v>152.8079</v>
      </c>
      <c r="G148" s="11">
        <f t="shared" si="4"/>
        <v>3361.7738</v>
      </c>
    </row>
    <row r="149" spans="2:7" ht="36">
      <c r="B149" s="7">
        <v>143</v>
      </c>
      <c r="C149" s="8" t="s">
        <v>307</v>
      </c>
      <c r="D149" s="8" t="s">
        <v>301</v>
      </c>
      <c r="E149" s="20">
        <v>10</v>
      </c>
      <c r="F149" s="10">
        <v>237.9405</v>
      </c>
      <c r="G149" s="11">
        <f t="shared" si="4"/>
        <v>2379.4049999999997</v>
      </c>
    </row>
    <row r="150" spans="2:7" ht="36">
      <c r="B150" s="7">
        <v>144</v>
      </c>
      <c r="C150" s="8" t="s">
        <v>308</v>
      </c>
      <c r="D150" s="8" t="s">
        <v>301</v>
      </c>
      <c r="E150" s="20">
        <v>10</v>
      </c>
      <c r="F150" s="10">
        <v>249.80479999999997</v>
      </c>
      <c r="G150" s="11">
        <f t="shared" si="4"/>
        <v>2498.048</v>
      </c>
    </row>
    <row r="151" spans="2:7" ht="36">
      <c r="B151" s="7">
        <v>145</v>
      </c>
      <c r="C151" s="8" t="s">
        <v>309</v>
      </c>
      <c r="D151" s="8" t="s">
        <v>301</v>
      </c>
      <c r="E151" s="20">
        <v>12</v>
      </c>
      <c r="F151" s="10">
        <v>429.1259</v>
      </c>
      <c r="G151" s="11">
        <f t="shared" si="4"/>
        <v>5149.5108</v>
      </c>
    </row>
    <row r="152" spans="2:7" ht="36">
      <c r="B152" s="7">
        <v>146</v>
      </c>
      <c r="C152" s="8" t="s">
        <v>310</v>
      </c>
      <c r="D152" s="8" t="s">
        <v>301</v>
      </c>
      <c r="E152" s="20">
        <v>3</v>
      </c>
      <c r="F152" s="10">
        <v>350.5383</v>
      </c>
      <c r="G152" s="11">
        <f t="shared" si="4"/>
        <v>1051.6149</v>
      </c>
    </row>
    <row r="153" spans="2:7" ht="36">
      <c r="B153" s="7">
        <v>147</v>
      </c>
      <c r="C153" s="8" t="s">
        <v>311</v>
      </c>
      <c r="D153" s="8" t="s">
        <v>301</v>
      </c>
      <c r="E153" s="20">
        <v>21</v>
      </c>
      <c r="F153" s="10">
        <v>50.8249</v>
      </c>
      <c r="G153" s="11">
        <f t="shared" si="4"/>
        <v>1067.3229</v>
      </c>
    </row>
    <row r="154" spans="2:7" ht="36">
      <c r="B154" s="7">
        <v>148</v>
      </c>
      <c r="C154" s="8" t="s">
        <v>312</v>
      </c>
      <c r="D154" s="8" t="s">
        <v>301</v>
      </c>
      <c r="E154" s="20">
        <v>12.5</v>
      </c>
      <c r="F154" s="10">
        <v>95.55699999999999</v>
      </c>
      <c r="G154" s="11">
        <f t="shared" si="4"/>
        <v>1194.4624999999999</v>
      </c>
    </row>
    <row r="155" spans="2:7" ht="12">
      <c r="B155" s="7">
        <v>149</v>
      </c>
      <c r="C155" s="8" t="s">
        <v>313</v>
      </c>
      <c r="D155" s="8" t="s">
        <v>224</v>
      </c>
      <c r="E155" s="20">
        <v>0.1154</v>
      </c>
      <c r="F155" s="10">
        <v>237.0718</v>
      </c>
      <c r="G155" s="11">
        <f t="shared" si="4"/>
        <v>27.358085720000002</v>
      </c>
    </row>
    <row r="156" spans="2:7" ht="12">
      <c r="B156" s="7">
        <v>150</v>
      </c>
      <c r="C156" s="8" t="s">
        <v>314</v>
      </c>
      <c r="D156" s="8" t="s">
        <v>204</v>
      </c>
      <c r="E156" s="20">
        <v>0.00775</v>
      </c>
      <c r="F156" s="10">
        <v>13739.109299999998</v>
      </c>
      <c r="G156" s="11">
        <f t="shared" si="4"/>
        <v>106.47809707499998</v>
      </c>
    </row>
    <row r="157" spans="2:7" ht="12">
      <c r="B157" s="7">
        <v>151</v>
      </c>
      <c r="C157" s="8" t="s">
        <v>315</v>
      </c>
      <c r="D157" s="8" t="s">
        <v>301</v>
      </c>
      <c r="E157" s="20">
        <v>4.08</v>
      </c>
      <c r="F157" s="10">
        <v>85.1445</v>
      </c>
      <c r="G157" s="11">
        <f t="shared" si="4"/>
        <v>347.38955999999996</v>
      </c>
    </row>
    <row r="158" spans="2:7" ht="12">
      <c r="B158" s="7">
        <v>152</v>
      </c>
      <c r="C158" s="8" t="s">
        <v>316</v>
      </c>
      <c r="D158" s="8" t="s">
        <v>204</v>
      </c>
      <c r="E158" s="20">
        <v>0.0005858</v>
      </c>
      <c r="F158" s="10">
        <v>48488.93</v>
      </c>
      <c r="G158" s="11">
        <f t="shared" si="4"/>
        <v>28.404815194</v>
      </c>
    </row>
    <row r="159" spans="2:7" ht="12">
      <c r="B159" s="7">
        <v>153</v>
      </c>
      <c r="C159" s="8" t="s">
        <v>317</v>
      </c>
      <c r="D159" s="8" t="s">
        <v>204</v>
      </c>
      <c r="E159" s="20">
        <v>2E-05</v>
      </c>
      <c r="F159" s="10">
        <v>46803.771</v>
      </c>
      <c r="G159" s="11">
        <f t="shared" si="4"/>
        <v>0.9360754200000001</v>
      </c>
    </row>
    <row r="160" spans="2:7" ht="12">
      <c r="B160" s="182" t="s">
        <v>139</v>
      </c>
      <c r="C160" s="182"/>
      <c r="D160" s="182"/>
      <c r="E160" s="182"/>
      <c r="F160" s="182"/>
      <c r="G160" s="22">
        <f>SUM(G49:G159)</f>
        <v>94340.68664628513</v>
      </c>
    </row>
    <row r="161" spans="2:7" ht="12.75" customHeight="1">
      <c r="B161" s="183" t="s">
        <v>318</v>
      </c>
      <c r="C161" s="183"/>
      <c r="D161" s="183"/>
      <c r="E161" s="183"/>
      <c r="F161" s="183"/>
      <c r="G161" s="183"/>
    </row>
    <row r="162" spans="2:7" ht="12">
      <c r="B162" s="15">
        <v>154</v>
      </c>
      <c r="C162" s="16" t="s">
        <v>319</v>
      </c>
      <c r="D162" s="16" t="s">
        <v>199</v>
      </c>
      <c r="E162" s="17">
        <v>0.16536508</v>
      </c>
      <c r="F162" s="18">
        <v>104.3987</v>
      </c>
      <c r="G162" s="19">
        <f aca="true" t="shared" si="5" ref="G162:G169">E162*F162</f>
        <v>17.263899377396</v>
      </c>
    </row>
    <row r="163" spans="2:7" ht="12">
      <c r="B163" s="7">
        <v>155</v>
      </c>
      <c r="C163" s="8" t="s">
        <v>320</v>
      </c>
      <c r="D163" s="8" t="s">
        <v>199</v>
      </c>
      <c r="E163" s="20">
        <v>0.76437683</v>
      </c>
      <c r="F163" s="10">
        <v>77.3976</v>
      </c>
      <c r="G163" s="11">
        <f t="shared" si="5"/>
        <v>59.160932137608</v>
      </c>
    </row>
    <row r="164" spans="2:7" ht="12">
      <c r="B164" s="7">
        <v>156</v>
      </c>
      <c r="C164" s="8" t="s">
        <v>321</v>
      </c>
      <c r="D164" s="8" t="s">
        <v>199</v>
      </c>
      <c r="E164" s="20">
        <v>0.00525</v>
      </c>
      <c r="F164" s="10">
        <v>250.4831</v>
      </c>
      <c r="G164" s="11">
        <f t="shared" si="5"/>
        <v>1.3150362750000002</v>
      </c>
    </row>
    <row r="165" spans="2:7" ht="12">
      <c r="B165" s="7">
        <v>157</v>
      </c>
      <c r="C165" s="8" t="s">
        <v>322</v>
      </c>
      <c r="D165" s="8" t="s">
        <v>199</v>
      </c>
      <c r="E165" s="20">
        <v>10.5258</v>
      </c>
      <c r="F165" s="10">
        <v>66.8423</v>
      </c>
      <c r="G165" s="11">
        <f t="shared" si="5"/>
        <v>703.56868134</v>
      </c>
    </row>
    <row r="166" spans="2:7" ht="12">
      <c r="B166" s="7">
        <v>158</v>
      </c>
      <c r="C166" s="8" t="s">
        <v>323</v>
      </c>
      <c r="D166" s="8" t="s">
        <v>199</v>
      </c>
      <c r="E166" s="20">
        <v>0.00525</v>
      </c>
      <c r="F166" s="10">
        <v>135.66</v>
      </c>
      <c r="G166" s="11">
        <f t="shared" si="5"/>
        <v>0.712215</v>
      </c>
    </row>
    <row r="167" spans="2:7" ht="12">
      <c r="B167" s="7">
        <v>159</v>
      </c>
      <c r="C167" s="8" t="s">
        <v>324</v>
      </c>
      <c r="D167" s="8" t="s">
        <v>199</v>
      </c>
      <c r="E167" s="20">
        <v>0.06651044</v>
      </c>
      <c r="F167" s="10">
        <v>82.943</v>
      </c>
      <c r="G167" s="11">
        <f t="shared" si="5"/>
        <v>5.51657542492</v>
      </c>
    </row>
    <row r="168" spans="2:7" ht="12">
      <c r="B168" s="7">
        <v>160</v>
      </c>
      <c r="C168" s="8" t="s">
        <v>325</v>
      </c>
      <c r="D168" s="8" t="s">
        <v>199</v>
      </c>
      <c r="E168" s="20">
        <v>0.16712499</v>
      </c>
      <c r="F168" s="10">
        <v>51.74119999999999</v>
      </c>
      <c r="G168" s="11">
        <f t="shared" si="5"/>
        <v>8.647247532587999</v>
      </c>
    </row>
    <row r="169" spans="2:7" ht="12">
      <c r="B169" s="7">
        <v>161</v>
      </c>
      <c r="C169" s="8" t="s">
        <v>326</v>
      </c>
      <c r="D169" s="8" t="s">
        <v>199</v>
      </c>
      <c r="E169" s="20">
        <v>0.2427504</v>
      </c>
      <c r="F169" s="10">
        <v>200.039</v>
      </c>
      <c r="G169" s="11">
        <f t="shared" si="5"/>
        <v>48.559547265599996</v>
      </c>
    </row>
    <row r="170" spans="2:7" ht="12">
      <c r="B170" s="182" t="s">
        <v>139</v>
      </c>
      <c r="C170" s="182"/>
      <c r="D170" s="182"/>
      <c r="E170" s="182"/>
      <c r="F170" s="182"/>
      <c r="G170" s="22">
        <f>SUM(G162:G169)</f>
        <v>844.7441343531121</v>
      </c>
    </row>
    <row r="171" spans="2:7" ht="12.75" customHeight="1">
      <c r="B171" s="183" t="s">
        <v>327</v>
      </c>
      <c r="C171" s="183"/>
      <c r="D171" s="183"/>
      <c r="E171" s="183"/>
      <c r="F171" s="183"/>
      <c r="G171" s="183"/>
    </row>
    <row r="172" spans="2:7" ht="12">
      <c r="B172" s="15">
        <v>162</v>
      </c>
      <c r="C172" s="16" t="s">
        <v>328</v>
      </c>
      <c r="D172" s="16" t="s">
        <v>329</v>
      </c>
      <c r="E172" s="17">
        <v>27.205</v>
      </c>
      <c r="F172" s="18">
        <v>949.2588</v>
      </c>
      <c r="G172" s="19">
        <f>E172*F172</f>
        <v>25824.585654</v>
      </c>
    </row>
    <row r="173" spans="2:7" ht="12">
      <c r="B173" s="7">
        <v>163</v>
      </c>
      <c r="C173" s="8" t="s">
        <v>330</v>
      </c>
      <c r="D173" s="8" t="s">
        <v>329</v>
      </c>
      <c r="E173" s="20">
        <v>50.66775</v>
      </c>
      <c r="F173" s="10">
        <v>86.99040000000001</v>
      </c>
      <c r="G173" s="11">
        <f>E173*F173</f>
        <v>4407.6078396</v>
      </c>
    </row>
    <row r="174" spans="2:7" ht="12">
      <c r="B174" s="7">
        <v>164</v>
      </c>
      <c r="C174" s="8" t="s">
        <v>331</v>
      </c>
      <c r="D174" s="8" t="s">
        <v>332</v>
      </c>
      <c r="E174" s="20">
        <v>26.275</v>
      </c>
      <c r="F174" s="10">
        <v>693.7182</v>
      </c>
      <c r="G174" s="11">
        <f>E174*F174</f>
        <v>18227.445705</v>
      </c>
    </row>
    <row r="175" spans="2:7" ht="12">
      <c r="B175" s="7">
        <v>165</v>
      </c>
      <c r="C175" s="8" t="s">
        <v>333</v>
      </c>
      <c r="D175" s="8" t="s">
        <v>332</v>
      </c>
      <c r="E175" s="20">
        <v>0.465</v>
      </c>
      <c r="F175" s="10">
        <v>390.5496</v>
      </c>
      <c r="G175" s="11">
        <f>E175*F175</f>
        <v>181.60556400000002</v>
      </c>
    </row>
    <row r="176" spans="2:7" ht="12">
      <c r="B176" s="182" t="s">
        <v>139</v>
      </c>
      <c r="C176" s="182"/>
      <c r="D176" s="182"/>
      <c r="E176" s="182"/>
      <c r="F176" s="182"/>
      <c r="G176" s="22">
        <f>SUM(G172:G175)</f>
        <v>48641.24476259999</v>
      </c>
    </row>
  </sheetData>
  <sheetProtection selectLockedCells="1" selectUnlockedCells="1"/>
  <mergeCells count="9">
    <mergeCell ref="B170:F170"/>
    <mergeCell ref="B171:G171"/>
    <mergeCell ref="B176:F176"/>
    <mergeCell ref="B1:G1"/>
    <mergeCell ref="B4:G4"/>
    <mergeCell ref="B47:F47"/>
    <mergeCell ref="B48:G48"/>
    <mergeCell ref="B160:F160"/>
    <mergeCell ref="B161:G161"/>
  </mergeCells>
  <printOptions/>
  <pageMargins left="0.35" right="0.35" top="0.35" bottom="0.35" header="0.5118055555555555" footer="0.3"/>
  <pageSetup fitToHeight="0" fitToWidth="1" horizontalDpi="300" verticalDpi="300" orientation="portrait" paperSize="9" scale="90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="89" zoomScaleNormal="89" zoomScalePageLayoutView="0" workbookViewId="0" topLeftCell="B1">
      <selection activeCell="N3" sqref="N3:O3"/>
    </sheetView>
  </sheetViews>
  <sheetFormatPr defaultColWidth="9.140625" defaultRowHeight="12"/>
  <cols>
    <col min="1" max="1" width="0" style="1" hidden="1" customWidth="1"/>
    <col min="2" max="2" width="7.00390625" style="1" customWidth="1"/>
    <col min="3" max="3" width="50.00390625" style="1" customWidth="1"/>
    <col min="4" max="4" width="18.00390625" style="1" customWidth="1"/>
    <col min="5" max="5" width="15.00390625" style="1" customWidth="1"/>
    <col min="6" max="6" width="12.00390625" style="1" customWidth="1"/>
    <col min="7" max="12" width="13.00390625" style="1" customWidth="1"/>
    <col min="13" max="13" width="15.00390625" style="1" customWidth="1"/>
    <col min="14" max="14" width="10.421875" style="0" customWidth="1"/>
    <col min="15" max="15" width="10.7109375" style="0" customWidth="1"/>
    <col min="16" max="16" width="10.57421875" style="52" customWidth="1"/>
  </cols>
  <sheetData>
    <row r="1" spans="2:13" ht="27.75" customHeight="1"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ht="12.75" thickBot="1"/>
    <row r="3" spans="1:16" ht="68.25" thickBot="1">
      <c r="A3" s="2"/>
      <c r="B3" s="3" t="s">
        <v>1</v>
      </c>
      <c r="C3" s="4" t="s">
        <v>2</v>
      </c>
      <c r="D3" s="4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34" t="s">
        <v>12</v>
      </c>
      <c r="N3" s="70" t="s">
        <v>340</v>
      </c>
      <c r="O3" s="131" t="s">
        <v>341</v>
      </c>
      <c r="P3" s="134"/>
    </row>
    <row r="4" spans="2:16" ht="19.5" customHeight="1" thickBot="1">
      <c r="B4" s="196" t="s">
        <v>347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7"/>
      <c r="N4" s="37"/>
      <c r="O4" s="74"/>
      <c r="P4" s="135"/>
    </row>
    <row r="5" spans="2:16" ht="19.5" customHeight="1">
      <c r="B5" s="196" t="s">
        <v>13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7"/>
      <c r="N5" s="37"/>
      <c r="O5" s="74"/>
      <c r="P5" s="135"/>
    </row>
    <row r="6" spans="2:16" ht="36">
      <c r="B6" s="7">
        <v>3</v>
      </c>
      <c r="C6" s="8" t="s">
        <v>18</v>
      </c>
      <c r="D6" s="8" t="s">
        <v>19</v>
      </c>
      <c r="E6" s="9">
        <v>0.065</v>
      </c>
      <c r="F6" s="9">
        <v>1</v>
      </c>
      <c r="G6" s="10">
        <f>17034.9075*E6*F6</f>
        <v>1107.2689875</v>
      </c>
      <c r="H6" s="10">
        <f>7815.316908*E6*F6</f>
        <v>507.99559902</v>
      </c>
      <c r="I6" s="10">
        <f>242.140752*E6*F6</f>
        <v>15.73914888</v>
      </c>
      <c r="J6" s="10">
        <f>14371.321877124*E6*F6</f>
        <v>934.13592201306</v>
      </c>
      <c r="K6" s="10">
        <f>1381.2290462993*E6*F6</f>
        <v>89.77988800945451</v>
      </c>
      <c r="L6" s="10"/>
      <c r="M6" s="35">
        <f>SUM(G6:L6)</f>
        <v>2654.919545422515</v>
      </c>
      <c r="N6" s="71">
        <f aca="true" t="shared" si="0" ref="N6:N34">M6/12/290</f>
        <v>0.7629079153512974</v>
      </c>
      <c r="O6" s="75">
        <f>N6*1.18</f>
        <v>0.9002313401145309</v>
      </c>
      <c r="P6" s="198">
        <f>SUM(O6:O9)</f>
        <v>2.2541642268536446</v>
      </c>
    </row>
    <row r="7" spans="2:16" ht="24">
      <c r="B7" s="7">
        <v>5</v>
      </c>
      <c r="C7" s="8" t="s">
        <v>22</v>
      </c>
      <c r="D7" s="8" t="s">
        <v>23</v>
      </c>
      <c r="E7" s="9">
        <v>0.065</v>
      </c>
      <c r="F7" s="9">
        <v>1</v>
      </c>
      <c r="G7" s="10">
        <f>1385.2254*E7*F7</f>
        <v>90.039651</v>
      </c>
      <c r="H7" s="10">
        <f>368.5874346*E7*F7</f>
        <v>23.958183249</v>
      </c>
      <c r="I7" s="10">
        <f>0*E7*F7</f>
        <v>0</v>
      </c>
      <c r="J7" s="10">
        <f>1162.2041106*E7*F7</f>
        <v>75.54326718899999</v>
      </c>
      <c r="K7" s="10">
        <f>102.060593082*E7*F7</f>
        <v>6.63393855033</v>
      </c>
      <c r="L7" s="10"/>
      <c r="M7" s="35">
        <f>SUM(G7:L7)</f>
        <v>196.17503998832998</v>
      </c>
      <c r="N7" s="71">
        <f t="shared" si="0"/>
        <v>0.05637213792768103</v>
      </c>
      <c r="O7" s="75">
        <f>N7*1.18</f>
        <v>0.06651912275466361</v>
      </c>
      <c r="P7" s="199"/>
    </row>
    <row r="8" spans="2:16" ht="24">
      <c r="B8" s="7">
        <v>6</v>
      </c>
      <c r="C8" s="8" t="s">
        <v>24</v>
      </c>
      <c r="D8" s="8" t="s">
        <v>23</v>
      </c>
      <c r="E8" s="9">
        <v>0.04</v>
      </c>
      <c r="F8" s="9">
        <v>1</v>
      </c>
      <c r="G8" s="10">
        <f>1385.2254*E8*F8</f>
        <v>55.409016</v>
      </c>
      <c r="H8" s="10">
        <f>1227.194445594*E8*F8</f>
        <v>49.08777782376</v>
      </c>
      <c r="I8" s="10">
        <f>0*E8*F8</f>
        <v>0</v>
      </c>
      <c r="J8" s="10">
        <f>1162.2041106*E8*F8</f>
        <v>46.488164424</v>
      </c>
      <c r="K8" s="10">
        <f>132.11183846679*E8*F8</f>
        <v>5.2844735386716</v>
      </c>
      <c r="L8" s="10"/>
      <c r="M8" s="35">
        <f>SUM(G8:L8)</f>
        <v>156.2694317864316</v>
      </c>
      <c r="N8" s="71">
        <f t="shared" si="0"/>
        <v>0.044905009134032066</v>
      </c>
      <c r="O8" s="75">
        <f>N8*1.18</f>
        <v>0.052987910778157836</v>
      </c>
      <c r="P8" s="199"/>
    </row>
    <row r="9" spans="2:16" ht="12">
      <c r="B9" s="7">
        <v>8</v>
      </c>
      <c r="C9" s="8" t="s">
        <v>335</v>
      </c>
      <c r="D9" s="8" t="s">
        <v>28</v>
      </c>
      <c r="E9" s="9">
        <v>0.2</v>
      </c>
      <c r="F9" s="9">
        <v>1</v>
      </c>
      <c r="G9" s="10">
        <f>4155.6762*E9*F9</f>
        <v>831.1352400000001</v>
      </c>
      <c r="H9" s="10">
        <f>9944.71699165*E9*F9</f>
        <v>1988.9433983300003</v>
      </c>
      <c r="I9" s="10">
        <f>0*E9*F9</f>
        <v>0</v>
      </c>
      <c r="J9" s="10">
        <f>3486.6123318*E9*F9</f>
        <v>697.32246636</v>
      </c>
      <c r="K9" s="10">
        <f>615.54519332075*E9*F9</f>
        <v>123.10903866414999</v>
      </c>
      <c r="L9" s="10"/>
      <c r="M9" s="35">
        <f>SUM(G9:L9)</f>
        <v>3640.51014335415</v>
      </c>
      <c r="N9" s="71">
        <f t="shared" si="0"/>
        <v>1.046123604412112</v>
      </c>
      <c r="O9" s="75">
        <f>N9*1.18</f>
        <v>1.2344258532062922</v>
      </c>
      <c r="P9" s="199"/>
    </row>
    <row r="10" spans="1:16" s="118" customFormat="1" ht="18" customHeight="1">
      <c r="A10" s="114"/>
      <c r="B10" s="115"/>
      <c r="C10" s="116" t="s">
        <v>344</v>
      </c>
      <c r="D10" s="117"/>
      <c r="E10" s="116"/>
      <c r="F10" s="116"/>
      <c r="G10" s="112">
        <f aca="true" t="shared" si="1" ref="G10:M10">SUM(G6:G9)</f>
        <v>2083.8528945000003</v>
      </c>
      <c r="H10" s="112">
        <f t="shared" si="1"/>
        <v>2569.9849584227604</v>
      </c>
      <c r="I10" s="112">
        <f t="shared" si="1"/>
        <v>15.73914888</v>
      </c>
      <c r="J10" s="112">
        <f t="shared" si="1"/>
        <v>1753.48981998606</v>
      </c>
      <c r="K10" s="112">
        <f t="shared" si="1"/>
        <v>224.8073387626061</v>
      </c>
      <c r="L10" s="112">
        <f t="shared" si="1"/>
        <v>0</v>
      </c>
      <c r="M10" s="107">
        <f t="shared" si="1"/>
        <v>6647.874160551426</v>
      </c>
      <c r="N10" s="108"/>
      <c r="O10" s="132"/>
      <c r="P10" s="137"/>
    </row>
    <row r="11" spans="2:16" ht="15.75">
      <c r="B11" s="184" t="s">
        <v>336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5"/>
      <c r="N11" s="71"/>
      <c r="O11" s="75"/>
      <c r="P11" s="135"/>
    </row>
    <row r="12" spans="2:16" ht="36">
      <c r="B12" s="7">
        <v>19</v>
      </c>
      <c r="C12" s="8" t="s">
        <v>47</v>
      </c>
      <c r="D12" s="8" t="s">
        <v>46</v>
      </c>
      <c r="E12" s="9">
        <v>0.05</v>
      </c>
      <c r="F12" s="9">
        <v>1</v>
      </c>
      <c r="G12" s="10">
        <f>13116.878775*E12*F12</f>
        <v>655.84393875</v>
      </c>
      <c r="H12" s="10">
        <f>19800.660853428*E12*F12</f>
        <v>990.0330426713999</v>
      </c>
      <c r="I12" s="10">
        <f>0*E12*F12</f>
        <v>0</v>
      </c>
      <c r="J12" s="10">
        <f>11005.061292225*E12*F12</f>
        <v>550.25306461125</v>
      </c>
      <c r="K12" s="10">
        <f>1537.2910322229*E12*F12</f>
        <v>76.864551611145</v>
      </c>
      <c r="L12" s="10"/>
      <c r="M12" s="35">
        <f>SUM(G12:L12)</f>
        <v>2272.9945976437953</v>
      </c>
      <c r="N12" s="71">
        <f t="shared" si="0"/>
        <v>0.6531593671390217</v>
      </c>
      <c r="O12" s="75">
        <f>N12*1.18</f>
        <v>0.7707280532240456</v>
      </c>
      <c r="P12" s="136">
        <f>O12</f>
        <v>0.7707280532240456</v>
      </c>
    </row>
    <row r="13" spans="2:16" ht="16.5" customHeight="1">
      <c r="B13" s="7"/>
      <c r="C13" s="63" t="s">
        <v>344</v>
      </c>
      <c r="D13" s="62"/>
      <c r="E13" s="63"/>
      <c r="F13" s="63"/>
      <c r="G13" s="64">
        <f aca="true" t="shared" si="2" ref="G13:M13">SUM(G12:G12)</f>
        <v>655.84393875</v>
      </c>
      <c r="H13" s="64">
        <f t="shared" si="2"/>
        <v>990.0330426713999</v>
      </c>
      <c r="I13" s="64">
        <f t="shared" si="2"/>
        <v>0</v>
      </c>
      <c r="J13" s="64">
        <f t="shared" si="2"/>
        <v>550.25306461125</v>
      </c>
      <c r="K13" s="64">
        <f t="shared" si="2"/>
        <v>76.864551611145</v>
      </c>
      <c r="L13" s="64">
        <f t="shared" si="2"/>
        <v>0</v>
      </c>
      <c r="M13" s="69">
        <f t="shared" si="2"/>
        <v>2272.9945976437953</v>
      </c>
      <c r="N13" s="72"/>
      <c r="O13" s="76"/>
      <c r="P13" s="135"/>
    </row>
    <row r="14" spans="2:16" ht="15.75">
      <c r="B14" s="184" t="s">
        <v>58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5"/>
      <c r="N14" s="71"/>
      <c r="O14" s="75"/>
      <c r="P14" s="135"/>
    </row>
    <row r="15" spans="2:16" ht="12">
      <c r="B15" s="7">
        <v>29</v>
      </c>
      <c r="C15" s="8" t="s">
        <v>61</v>
      </c>
      <c r="D15" s="8" t="s">
        <v>62</v>
      </c>
      <c r="E15" s="9">
        <v>0.015</v>
      </c>
      <c r="F15" s="9">
        <v>1</v>
      </c>
      <c r="G15" s="10">
        <f>22432.8*E15*F15</f>
        <v>336.49199999999996</v>
      </c>
      <c r="H15" s="10">
        <f>29909.1502362*E15*F15</f>
        <v>448.637253543</v>
      </c>
      <c r="I15" s="10">
        <f>0*E15*F15</f>
        <v>0</v>
      </c>
      <c r="J15" s="10">
        <f>18821.1192*E15*F15</f>
        <v>282.31678800000003</v>
      </c>
      <c r="K15" s="10">
        <f>2490.707430267*E15*F15</f>
        <v>37.360611454004996</v>
      </c>
      <c r="L15" s="10"/>
      <c r="M15" s="35">
        <f>SUM(G15:L15)</f>
        <v>1104.8066529970051</v>
      </c>
      <c r="N15" s="71">
        <f t="shared" si="0"/>
        <v>0.3174731761485647</v>
      </c>
      <c r="O15" s="75">
        <f>N15*1.18</f>
        <v>0.3746183478553063</v>
      </c>
      <c r="P15" s="136">
        <f>O15</f>
        <v>0.3746183478553063</v>
      </c>
    </row>
    <row r="16" spans="2:16" ht="15.75" customHeight="1">
      <c r="B16" s="7"/>
      <c r="C16" s="63" t="s">
        <v>344</v>
      </c>
      <c r="D16" s="62"/>
      <c r="E16" s="63"/>
      <c r="F16" s="63"/>
      <c r="G16" s="64">
        <f aca="true" t="shared" si="3" ref="G16:M16">SUM(G15:G15)</f>
        <v>336.49199999999996</v>
      </c>
      <c r="H16" s="64">
        <f t="shared" si="3"/>
        <v>448.637253543</v>
      </c>
      <c r="I16" s="64">
        <f t="shared" si="3"/>
        <v>0</v>
      </c>
      <c r="J16" s="64">
        <f t="shared" si="3"/>
        <v>282.31678800000003</v>
      </c>
      <c r="K16" s="64">
        <f t="shared" si="3"/>
        <v>37.360611454004996</v>
      </c>
      <c r="L16" s="64">
        <f t="shared" si="3"/>
        <v>0</v>
      </c>
      <c r="M16" s="69">
        <f t="shared" si="3"/>
        <v>1104.8066529970051</v>
      </c>
      <c r="N16" s="72"/>
      <c r="O16" s="76"/>
      <c r="P16" s="135"/>
    </row>
    <row r="17" spans="2:16" ht="12">
      <c r="B17" s="7"/>
      <c r="C17" s="8"/>
      <c r="D17" s="8"/>
      <c r="E17" s="9"/>
      <c r="F17" s="9"/>
      <c r="G17" s="10"/>
      <c r="H17" s="10"/>
      <c r="I17" s="10"/>
      <c r="J17" s="10"/>
      <c r="K17" s="10"/>
      <c r="L17" s="10"/>
      <c r="M17" s="35"/>
      <c r="N17" s="71"/>
      <c r="O17" s="75"/>
      <c r="P17" s="135"/>
    </row>
    <row r="18" spans="2:16" ht="15.75">
      <c r="B18" s="184" t="s">
        <v>65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5"/>
      <c r="N18" s="71"/>
      <c r="O18" s="75"/>
      <c r="P18" s="135"/>
    </row>
    <row r="19" spans="2:16" ht="24">
      <c r="B19" s="7">
        <v>32</v>
      </c>
      <c r="C19" s="8" t="s">
        <v>68</v>
      </c>
      <c r="D19" s="8" t="s">
        <v>69</v>
      </c>
      <c r="E19" s="9">
        <v>0.29</v>
      </c>
      <c r="F19" s="9">
        <v>2</v>
      </c>
      <c r="G19" s="10">
        <f>47.97*E19*F19</f>
        <v>27.822599999999998</v>
      </c>
      <c r="H19" s="10">
        <f>0*E19*F19</f>
        <v>0</v>
      </c>
      <c r="I19" s="10">
        <f>0*E19*F19</f>
        <v>0</v>
      </c>
      <c r="J19" s="10">
        <f>40.24683*E19*F19</f>
        <v>23.3431614</v>
      </c>
      <c r="K19" s="10">
        <f>3.08758905*E19*F19</f>
        <v>1.7908016489999998</v>
      </c>
      <c r="L19" s="10"/>
      <c r="M19" s="35">
        <f>SUM(G19:L19)</f>
        <v>52.956563048999996</v>
      </c>
      <c r="N19" s="71">
        <f t="shared" si="0"/>
        <v>0.015217403174999998</v>
      </c>
      <c r="O19" s="75">
        <f>N19*1.18</f>
        <v>0.017956535746499996</v>
      </c>
      <c r="P19" s="198">
        <f>SUM(O19:O21)</f>
        <v>0.44098471384842164</v>
      </c>
    </row>
    <row r="20" spans="2:16" ht="24">
      <c r="B20" s="7">
        <v>33</v>
      </c>
      <c r="C20" s="8" t="s">
        <v>70</v>
      </c>
      <c r="D20" s="8" t="s">
        <v>69</v>
      </c>
      <c r="E20" s="9">
        <v>0.29</v>
      </c>
      <c r="F20" s="9">
        <v>2</v>
      </c>
      <c r="G20" s="10">
        <f>382.53*E20*F20</f>
        <v>221.86739999999998</v>
      </c>
      <c r="H20" s="10">
        <f>0*E20*F20</f>
        <v>0</v>
      </c>
      <c r="I20" s="10">
        <f>0*E20*F20</f>
        <v>0</v>
      </c>
      <c r="J20" s="10">
        <f>320.94267*E20*F20</f>
        <v>186.1467486</v>
      </c>
      <c r="K20" s="10">
        <f>24.62154345*E20*F20</f>
        <v>14.280495200999999</v>
      </c>
      <c r="L20" s="10"/>
      <c r="M20" s="35">
        <f>SUM(G20:L20)</f>
        <v>422.294643801</v>
      </c>
      <c r="N20" s="71">
        <f t="shared" si="0"/>
        <v>0.121349035575</v>
      </c>
      <c r="O20" s="75">
        <f>N20*1.18</f>
        <v>0.14319186197849998</v>
      </c>
      <c r="P20" s="199"/>
    </row>
    <row r="21" spans="2:16" ht="36">
      <c r="B21" s="7">
        <v>36</v>
      </c>
      <c r="C21" s="8" t="s">
        <v>75</v>
      </c>
      <c r="D21" s="8" t="s">
        <v>76</v>
      </c>
      <c r="E21" s="9">
        <v>0.05</v>
      </c>
      <c r="F21" s="9">
        <v>2</v>
      </c>
      <c r="G21" s="10">
        <f>3942.5646*E21*F21</f>
        <v>394.25646000000006</v>
      </c>
      <c r="H21" s="10">
        <f>723.3433445*E21*F21</f>
        <v>72.33433445</v>
      </c>
      <c r="I21" s="10">
        <f>0*E21*F21</f>
        <v>0</v>
      </c>
      <c r="J21" s="10">
        <f>3307.8116994*E21*F21</f>
        <v>330.78116994000004</v>
      </c>
      <c r="K21" s="10">
        <f>279.0801875365*E21*F21</f>
        <v>27.908018753649998</v>
      </c>
      <c r="L21" s="10"/>
      <c r="M21" s="35">
        <f>SUM(G21:L21)</f>
        <v>825.2799831436502</v>
      </c>
      <c r="N21" s="71">
        <f t="shared" si="0"/>
        <v>0.23714942044357765</v>
      </c>
      <c r="O21" s="75">
        <f>N21*1.18</f>
        <v>0.27983631612342164</v>
      </c>
      <c r="P21" s="199"/>
    </row>
    <row r="22" spans="2:16" ht="17.25" customHeight="1">
      <c r="B22" s="7"/>
      <c r="C22" s="63" t="s">
        <v>344</v>
      </c>
      <c r="D22" s="62"/>
      <c r="E22" s="63"/>
      <c r="F22" s="63"/>
      <c r="G22" s="64">
        <f aca="true" t="shared" si="4" ref="G22:M22">SUM(G19:G21)</f>
        <v>643.94646</v>
      </c>
      <c r="H22" s="64">
        <f t="shared" si="4"/>
        <v>72.33433445</v>
      </c>
      <c r="I22" s="64">
        <f t="shared" si="4"/>
        <v>0</v>
      </c>
      <c r="J22" s="64">
        <f t="shared" si="4"/>
        <v>540.27107994</v>
      </c>
      <c r="K22" s="64">
        <f t="shared" si="4"/>
        <v>43.979315603649994</v>
      </c>
      <c r="L22" s="64">
        <f t="shared" si="4"/>
        <v>0</v>
      </c>
      <c r="M22" s="69">
        <f t="shared" si="4"/>
        <v>1300.53118999365</v>
      </c>
      <c r="N22" s="72"/>
      <c r="O22" s="76"/>
      <c r="P22" s="135"/>
    </row>
    <row r="23" spans="2:16" ht="15.75">
      <c r="B23" s="184" t="s">
        <v>106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5"/>
      <c r="N23" s="71"/>
      <c r="O23" s="75"/>
      <c r="P23" s="135"/>
    </row>
    <row r="24" spans="2:16" ht="60">
      <c r="B24" s="7">
        <v>53</v>
      </c>
      <c r="C24" s="8" t="s">
        <v>107</v>
      </c>
      <c r="D24" s="8" t="s">
        <v>108</v>
      </c>
      <c r="E24" s="111">
        <v>0.29</v>
      </c>
      <c r="F24" s="9">
        <v>2</v>
      </c>
      <c r="G24" s="10">
        <f>1113.829014*E24*F24</f>
        <v>646.0208281199999</v>
      </c>
      <c r="H24" s="10">
        <f>0*E24*F24</f>
        <v>0</v>
      </c>
      <c r="I24" s="10">
        <f>0*E24*F24</f>
        <v>0</v>
      </c>
      <c r="J24" s="10">
        <f>934.502542746*E24*F24</f>
        <v>542.01147479268</v>
      </c>
      <c r="K24" s="10">
        <f>71.69160448611*E24*F24</f>
        <v>41.58113060194379</v>
      </c>
      <c r="L24" s="10"/>
      <c r="M24" s="35">
        <f>SUM(G24:L24)</f>
        <v>1229.6134335146237</v>
      </c>
      <c r="N24" s="71">
        <f t="shared" si="0"/>
        <v>0.353337193538685</v>
      </c>
      <c r="O24" s="75">
        <f>N24*1.18</f>
        <v>0.41693788837564827</v>
      </c>
      <c r="P24" s="136">
        <f>O24</f>
        <v>0.41693788837564827</v>
      </c>
    </row>
    <row r="25" spans="2:16" ht="17.25" customHeight="1">
      <c r="B25" s="7"/>
      <c r="C25" s="63" t="s">
        <v>344</v>
      </c>
      <c r="D25" s="62"/>
      <c r="E25" s="63"/>
      <c r="F25" s="63"/>
      <c r="G25" s="64">
        <f aca="true" t="shared" si="5" ref="G25:M25">SUM(G24)</f>
        <v>646.0208281199999</v>
      </c>
      <c r="H25" s="64">
        <f t="shared" si="5"/>
        <v>0</v>
      </c>
      <c r="I25" s="64">
        <f t="shared" si="5"/>
        <v>0</v>
      </c>
      <c r="J25" s="64">
        <f t="shared" si="5"/>
        <v>542.01147479268</v>
      </c>
      <c r="K25" s="64">
        <f t="shared" si="5"/>
        <v>41.58113060194379</v>
      </c>
      <c r="L25" s="64">
        <f t="shared" si="5"/>
        <v>0</v>
      </c>
      <c r="M25" s="69">
        <f t="shared" si="5"/>
        <v>1229.6134335146237</v>
      </c>
      <c r="N25" s="72"/>
      <c r="O25" s="76"/>
      <c r="P25" s="135"/>
    </row>
    <row r="26" spans="2:16" ht="20.25" customHeight="1">
      <c r="B26" s="7"/>
      <c r="C26" s="194" t="s">
        <v>117</v>
      </c>
      <c r="D26" s="194"/>
      <c r="E26" s="194"/>
      <c r="F26" s="194"/>
      <c r="G26" s="194"/>
      <c r="H26" s="194"/>
      <c r="I26" s="194"/>
      <c r="J26" s="194"/>
      <c r="K26" s="194"/>
      <c r="L26" s="194"/>
      <c r="M26" s="195"/>
      <c r="N26" s="71"/>
      <c r="O26" s="75"/>
      <c r="P26" s="135"/>
    </row>
    <row r="27" spans="2:16" ht="24">
      <c r="B27" s="7">
        <v>59</v>
      </c>
      <c r="C27" s="8" t="s">
        <v>118</v>
      </c>
      <c r="D27" s="8" t="s">
        <v>119</v>
      </c>
      <c r="E27" s="9">
        <v>0.02</v>
      </c>
      <c r="F27" s="9">
        <v>144</v>
      </c>
      <c r="G27" s="10">
        <f>79.1749*E27*F27</f>
        <v>228.023712</v>
      </c>
      <c r="H27" s="10">
        <f>3.432912*E27*F27</f>
        <v>9.88678656</v>
      </c>
      <c r="I27" s="10">
        <f>0*E27*F27</f>
        <v>0</v>
      </c>
      <c r="J27" s="10">
        <f>66.4277411*E27*F27</f>
        <v>191.31189436800003</v>
      </c>
      <c r="K27" s="10">
        <f>5.2162443585*E27*F27</f>
        <v>15.02278375248</v>
      </c>
      <c r="L27" s="10"/>
      <c r="M27" s="35">
        <f>SUM(G27:L27)</f>
        <v>444.24517668048</v>
      </c>
      <c r="N27" s="71">
        <f t="shared" si="0"/>
        <v>0.12765665996565514</v>
      </c>
      <c r="O27" s="75">
        <f>N27*1.18</f>
        <v>0.15063485875947305</v>
      </c>
      <c r="P27" s="198">
        <f>SUM(O27:O31)</f>
        <v>1.3110042292578497</v>
      </c>
    </row>
    <row r="28" spans="2:16" ht="24">
      <c r="B28" s="7">
        <v>62</v>
      </c>
      <c r="C28" s="8" t="s">
        <v>122</v>
      </c>
      <c r="D28" s="8" t="s">
        <v>119</v>
      </c>
      <c r="E28" s="9">
        <v>0.01</v>
      </c>
      <c r="F28" s="9">
        <v>144</v>
      </c>
      <c r="G28" s="10">
        <f>108.9399*E28*F28</f>
        <v>156.873456</v>
      </c>
      <c r="H28" s="10">
        <f>4.480945*E28*F28</f>
        <v>6.4525608000000005</v>
      </c>
      <c r="I28" s="10">
        <f>0*E28*F28</f>
        <v>0</v>
      </c>
      <c r="J28" s="10">
        <f>91.4005761*E28*F28</f>
        <v>131.616829584</v>
      </c>
      <c r="K28" s="10">
        <f>7.1687497385*E28*F28</f>
        <v>10.322999623440001</v>
      </c>
      <c r="L28" s="10"/>
      <c r="M28" s="35">
        <f>SUM(G28:L28)</f>
        <v>305.26584600743996</v>
      </c>
      <c r="N28" s="71">
        <f t="shared" si="0"/>
        <v>0.08772007069179309</v>
      </c>
      <c r="O28" s="75">
        <f>N28*1.18</f>
        <v>0.10350968341631585</v>
      </c>
      <c r="P28" s="199"/>
    </row>
    <row r="29" spans="2:16" ht="12">
      <c r="B29" s="7">
        <v>65</v>
      </c>
      <c r="C29" s="8" t="s">
        <v>126</v>
      </c>
      <c r="D29" s="8" t="s">
        <v>127</v>
      </c>
      <c r="E29" s="9">
        <v>0.25</v>
      </c>
      <c r="F29" s="9">
        <v>3</v>
      </c>
      <c r="G29" s="10">
        <f>109.92072*E29*F29</f>
        <v>82.44054</v>
      </c>
      <c r="H29" s="10">
        <f>72.99124896*E29*F29</f>
        <v>54.74343671999999</v>
      </c>
      <c r="I29" s="10">
        <f>65.2428*E29*F29</f>
        <v>48.932100000000005</v>
      </c>
      <c r="J29" s="10">
        <f>92.22348408*E29*F29</f>
        <v>69.16761306000001</v>
      </c>
      <c r="K29" s="10">
        <f>11.9132388564*E29*F29</f>
        <v>8.9349291423</v>
      </c>
      <c r="L29" s="10"/>
      <c r="M29" s="35">
        <f>SUM(G29:L29)</f>
        <v>264.2186189223</v>
      </c>
      <c r="N29" s="71">
        <f t="shared" si="0"/>
        <v>0.07592489049491379</v>
      </c>
      <c r="O29" s="75">
        <f>N29*1.18</f>
        <v>0.08959137078399826</v>
      </c>
      <c r="P29" s="199"/>
    </row>
    <row r="30" spans="2:16" ht="12">
      <c r="B30" s="7">
        <v>66</v>
      </c>
      <c r="C30" s="8" t="s">
        <v>128</v>
      </c>
      <c r="D30" s="8" t="s">
        <v>129</v>
      </c>
      <c r="E30" s="9">
        <v>0.005</v>
      </c>
      <c r="F30" s="9">
        <v>1</v>
      </c>
      <c r="G30" s="10">
        <f>16477.8263*E30*F30</f>
        <v>82.3891315</v>
      </c>
      <c r="H30" s="10">
        <f>0*E30*F30</f>
        <v>0</v>
      </c>
      <c r="I30" s="10">
        <f>176562.1368*E30*F30</f>
        <v>882.810684</v>
      </c>
      <c r="J30" s="10">
        <f>41418.8327077*E30*F30</f>
        <v>207.0941635385</v>
      </c>
      <c r="K30" s="10">
        <f>8206.0578532695*E30*F30</f>
        <v>41.0302892663475</v>
      </c>
      <c r="L30" s="10"/>
      <c r="M30" s="35">
        <f>SUM(G30:L30)</f>
        <v>1213.3242683048477</v>
      </c>
      <c r="N30" s="71">
        <f t="shared" si="0"/>
        <v>0.3486563989381746</v>
      </c>
      <c r="O30" s="75">
        <f>N30*1.18</f>
        <v>0.411414550747046</v>
      </c>
      <c r="P30" s="199"/>
    </row>
    <row r="31" spans="2:16" ht="12">
      <c r="B31" s="7">
        <v>69</v>
      </c>
      <c r="C31" s="8" t="s">
        <v>134</v>
      </c>
      <c r="D31" s="8" t="s">
        <v>127</v>
      </c>
      <c r="E31" s="9">
        <v>0.02</v>
      </c>
      <c r="F31" s="9">
        <v>296</v>
      </c>
      <c r="G31" s="10">
        <f>144.6579*E31*F31</f>
        <v>856.374768</v>
      </c>
      <c r="H31" s="10">
        <f>1.51844*E31*F31</f>
        <v>8.989164800000001</v>
      </c>
      <c r="I31" s="10">
        <f>0*E31*F31</f>
        <v>0</v>
      </c>
      <c r="J31" s="10">
        <f>121.3679781*E31*F31</f>
        <v>718.498430352</v>
      </c>
      <c r="K31" s="10">
        <f>9.3640511335*E31*F31</f>
        <v>55.43518271032001</v>
      </c>
      <c r="L31" s="10"/>
      <c r="M31" s="35">
        <f>SUM(G31:L31)</f>
        <v>1639.29754586232</v>
      </c>
      <c r="N31" s="71">
        <f t="shared" si="0"/>
        <v>0.4710625131788276</v>
      </c>
      <c r="O31" s="75">
        <f>N31*1.18</f>
        <v>0.5558537655510165</v>
      </c>
      <c r="P31" s="199"/>
    </row>
    <row r="32" spans="2:16" ht="21.75" customHeight="1">
      <c r="B32" s="7"/>
      <c r="C32" s="63" t="s">
        <v>344</v>
      </c>
      <c r="D32" s="62"/>
      <c r="E32" s="63"/>
      <c r="F32" s="63"/>
      <c r="G32" s="64">
        <f aca="true" t="shared" si="6" ref="G32:M32">SUM(G27:G31)</f>
        <v>1406.1016075</v>
      </c>
      <c r="H32" s="64">
        <f t="shared" si="6"/>
        <v>80.07194887999998</v>
      </c>
      <c r="I32" s="64">
        <f t="shared" si="6"/>
        <v>931.742784</v>
      </c>
      <c r="J32" s="64">
        <f t="shared" si="6"/>
        <v>1317.6889309025</v>
      </c>
      <c r="K32" s="64">
        <f t="shared" si="6"/>
        <v>130.74618449488753</v>
      </c>
      <c r="L32" s="64">
        <f t="shared" si="6"/>
        <v>0</v>
      </c>
      <c r="M32" s="69">
        <f t="shared" si="6"/>
        <v>3866.3514557773874</v>
      </c>
      <c r="N32" s="72"/>
      <c r="O32" s="76"/>
      <c r="P32" s="135"/>
    </row>
    <row r="33" spans="2:16" ht="15">
      <c r="B33" s="7"/>
      <c r="C33" s="101" t="s">
        <v>343</v>
      </c>
      <c r="D33" s="8"/>
      <c r="E33" s="9"/>
      <c r="F33" s="9"/>
      <c r="G33" s="10"/>
      <c r="H33" s="10"/>
      <c r="I33" s="10"/>
      <c r="J33" s="10"/>
      <c r="K33" s="10"/>
      <c r="L33" s="10"/>
      <c r="M33" s="35"/>
      <c r="N33" s="71"/>
      <c r="O33" s="75"/>
      <c r="P33" s="135"/>
    </row>
    <row r="34" spans="2:16" ht="15" customHeight="1">
      <c r="B34" s="7"/>
      <c r="C34" s="8" t="s">
        <v>135</v>
      </c>
      <c r="D34" s="8"/>
      <c r="E34" s="9"/>
      <c r="F34" s="9"/>
      <c r="G34" s="10"/>
      <c r="H34" s="10"/>
      <c r="I34" s="10"/>
      <c r="J34" s="10"/>
      <c r="K34" s="10"/>
      <c r="L34" s="10"/>
      <c r="M34" s="35">
        <f>1.36*290*12/1.18</f>
        <v>4010.8474576271183</v>
      </c>
      <c r="N34" s="71">
        <f t="shared" si="0"/>
        <v>1.1525423728813557</v>
      </c>
      <c r="O34" s="75">
        <f>N34*1.18</f>
        <v>1.3599999999999997</v>
      </c>
      <c r="P34" s="136">
        <f>O34</f>
        <v>1.3599999999999997</v>
      </c>
    </row>
    <row r="35" spans="1:16" s="130" customFormat="1" ht="21" customHeight="1" thickBot="1">
      <c r="A35" s="124"/>
      <c r="B35" s="125"/>
      <c r="C35" s="126" t="s">
        <v>339</v>
      </c>
      <c r="D35" s="126"/>
      <c r="E35" s="127"/>
      <c r="F35" s="127"/>
      <c r="G35" s="128"/>
      <c r="H35" s="128"/>
      <c r="I35" s="128"/>
      <c r="J35" s="128"/>
      <c r="K35" s="128"/>
      <c r="L35" s="128"/>
      <c r="M35" s="129">
        <f>N35*12*290</f>
        <v>1461.6</v>
      </c>
      <c r="N35" s="57">
        <v>0.42</v>
      </c>
      <c r="O35" s="133">
        <f>N35*1.18</f>
        <v>0.49559999999999993</v>
      </c>
      <c r="P35" s="138">
        <f>O35</f>
        <v>0.49559999999999993</v>
      </c>
    </row>
    <row r="36" spans="2:16" ht="26.25" customHeight="1" thickBot="1">
      <c r="B36" s="119"/>
      <c r="C36" s="120" t="s">
        <v>139</v>
      </c>
      <c r="D36" s="121"/>
      <c r="E36" s="121"/>
      <c r="F36" s="121"/>
      <c r="G36" s="50">
        <f aca="true" t="shared" si="7" ref="G36:L36">G327+G25+G22+G16+G13+G10</f>
        <v>4366.156121370001</v>
      </c>
      <c r="H36" s="50">
        <f t="shared" si="7"/>
        <v>4080.9895890871603</v>
      </c>
      <c r="I36" s="50">
        <f t="shared" si="7"/>
        <v>15.73914888</v>
      </c>
      <c r="J36" s="50">
        <f t="shared" si="7"/>
        <v>3668.3422273299902</v>
      </c>
      <c r="K36" s="50">
        <f t="shared" si="7"/>
        <v>424.5929480333499</v>
      </c>
      <c r="L36" s="50">
        <f t="shared" si="7"/>
        <v>0</v>
      </c>
      <c r="M36" s="50">
        <f>M327+M25+M22+M16+M13+M10+M32+M34+M35</f>
        <v>21894.618948105006</v>
      </c>
      <c r="N36" s="140">
        <f>SUM(N6:N35)</f>
        <v>6.291557168995691</v>
      </c>
      <c r="O36" s="139">
        <f>SUM(O6:O35)</f>
        <v>7.424037459414916</v>
      </c>
      <c r="P36" s="61">
        <f>SUM(P6:P35)</f>
        <v>7.424037459414915</v>
      </c>
    </row>
    <row r="38" spans="12:13" ht="12">
      <c r="L38" s="1">
        <f>L36/12/290</f>
        <v>0</v>
      </c>
      <c r="M38" s="54">
        <f>M36/12/290</f>
        <v>6.291557168995691</v>
      </c>
    </row>
    <row r="40" spans="4:11" ht="19.5">
      <c r="D40" s="192" t="s">
        <v>140</v>
      </c>
      <c r="E40" s="192"/>
      <c r="F40" s="192"/>
      <c r="G40" s="192"/>
      <c r="H40" s="192"/>
      <c r="I40" s="192"/>
      <c r="J40" s="192"/>
      <c r="K40" s="192"/>
    </row>
    <row r="41" spans="4:11" ht="15.75">
      <c r="D41" s="13" t="s">
        <v>141</v>
      </c>
      <c r="E41" s="186">
        <f>G36</f>
        <v>4366.156121370001</v>
      </c>
      <c r="F41" s="186"/>
      <c r="G41" s="14"/>
      <c r="H41" s="14"/>
      <c r="I41" s="13" t="s">
        <v>142</v>
      </c>
      <c r="J41" s="186">
        <f>J36</f>
        <v>3668.3422273299902</v>
      </c>
      <c r="K41" s="186"/>
    </row>
    <row r="42" spans="4:11" ht="15.75">
      <c r="D42" s="13" t="s">
        <v>143</v>
      </c>
      <c r="E42" s="186">
        <f>H36</f>
        <v>4080.9895890871603</v>
      </c>
      <c r="F42" s="186"/>
      <c r="G42" s="14"/>
      <c r="H42" s="14"/>
      <c r="I42" s="13" t="s">
        <v>144</v>
      </c>
      <c r="J42" s="186">
        <f>K36</f>
        <v>424.5929480333499</v>
      </c>
      <c r="K42" s="186"/>
    </row>
    <row r="43" spans="4:11" ht="15.75">
      <c r="D43" s="13" t="s">
        <v>145</v>
      </c>
      <c r="E43" s="186">
        <f>I36</f>
        <v>15.73914888</v>
      </c>
      <c r="F43" s="186"/>
      <c r="G43" s="14"/>
      <c r="H43" s="14"/>
      <c r="I43" s="13" t="s">
        <v>146</v>
      </c>
      <c r="J43" s="186">
        <f>L36</f>
        <v>0</v>
      </c>
      <c r="K43" s="186"/>
    </row>
    <row r="44" spans="4:11" ht="15.75">
      <c r="D44" s="13"/>
      <c r="E44" s="14"/>
      <c r="F44" s="14"/>
      <c r="G44" s="14"/>
      <c r="H44" s="14"/>
      <c r="I44" s="13" t="s">
        <v>147</v>
      </c>
      <c r="J44" s="186">
        <f>M36</f>
        <v>21894.618948105006</v>
      </c>
      <c r="K44" s="186"/>
    </row>
  </sheetData>
  <sheetProtection selectLockedCells="1" selectUnlockedCells="1"/>
  <mergeCells count="19">
    <mergeCell ref="B18:M18"/>
    <mergeCell ref="B1:M1"/>
    <mergeCell ref="B4:M4"/>
    <mergeCell ref="B5:M5"/>
    <mergeCell ref="B11:M11"/>
    <mergeCell ref="J44:K44"/>
    <mergeCell ref="P6:P9"/>
    <mergeCell ref="P19:P21"/>
    <mergeCell ref="P27:P31"/>
    <mergeCell ref="B23:M23"/>
    <mergeCell ref="C26:M26"/>
    <mergeCell ref="D40:K40"/>
    <mergeCell ref="E41:F41"/>
    <mergeCell ref="J41:K41"/>
    <mergeCell ref="B14:M14"/>
    <mergeCell ref="E42:F42"/>
    <mergeCell ref="J42:K42"/>
    <mergeCell ref="E43:F43"/>
    <mergeCell ref="J43:K43"/>
  </mergeCells>
  <printOptions/>
  <pageMargins left="0.35" right="0.35" top="0.35" bottom="0.35" header="0.5118055555555555" footer="0.3"/>
  <pageSetup fitToHeight="0" fitToWidth="1" horizontalDpi="300" verticalDpi="300" orientation="landscape" paperSize="9" scale="6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Customer</cp:lastModifiedBy>
  <cp:lastPrinted>2015-07-22T13:49:06Z</cp:lastPrinted>
  <dcterms:created xsi:type="dcterms:W3CDTF">2015-07-15T19:07:11Z</dcterms:created>
  <dcterms:modified xsi:type="dcterms:W3CDTF">2015-07-27T06:37:51Z</dcterms:modified>
  <cp:category/>
  <cp:version/>
  <cp:contentType/>
  <cp:contentStatus/>
</cp:coreProperties>
</file>